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nau0.sharepoint.com/sites/ME476Capstone/Shared Documents/General/Mathematical Model/"/>
    </mc:Choice>
  </mc:AlternateContent>
  <xr:revisionPtr revIDLastSave="0" documentId="8_{01B09BBF-6ECA-4505-835A-C914F06A8F4E}" xr6:coauthVersionLast="47" xr6:coauthVersionMax="47" xr10:uidLastSave="{00000000-0000-0000-0000-000000000000}"/>
  <bookViews>
    <workbookView xWindow="0" yWindow="1320" windowWidth="25820" windowHeight="16040" tabRatio="494" firstSheet="3" activeTab="3" xr2:uid="{DA249E88-9BA8-4EFA-92EB-B90F96E874F9}"/>
  </bookViews>
  <sheets>
    <sheet name="Main" sheetId="1" r:id="rId1"/>
    <sheet name="Shock Setup" sheetId="9" r:id="rId2"/>
    <sheet name="Weight Bias" sheetId="7" r:id="rId3"/>
    <sheet name="BOM" sheetId="8" r:id="rId4"/>
    <sheet name="White Circle" sheetId="2" r:id="rId5"/>
    <sheet name="Green Circle" sheetId="3" r:id="rId6"/>
    <sheet name="Blue Square" sheetId="4" r:id="rId7"/>
    <sheet name="Black Diamond" sheetId="5" r:id="rId8"/>
    <sheet name="Double Black Diamond" sheetId="6" r:id="rId9"/>
  </sheets>
  <definedNames>
    <definedName name="bm">Main!$C$3</definedName>
    <definedName name="FT">Main!$C$22</definedName>
    <definedName name="Fwd">Main!$C$20</definedName>
    <definedName name="Fwn">Main!$C$14</definedName>
    <definedName name="kF">Main!$C$8</definedName>
    <definedName name="kR">Main!$C$9</definedName>
    <definedName name="lambdaF">Main!$C$10</definedName>
    <definedName name="lambdaR">Main!$C$11</definedName>
    <definedName name="LR">Main!$C$24</definedName>
    <definedName name="m">Main!$C$5</definedName>
    <definedName name="mf">Main!$C$6</definedName>
    <definedName name="mr">Main!$C$7</definedName>
    <definedName name="pm">Main!$C$4</definedName>
    <definedName name="psiF">Main!$C$12</definedName>
    <definedName name="psiR">Main!$C$13</definedName>
    <definedName name="RT">Main!$C$23</definedName>
    <definedName name="Rwd">Main!$C$21</definedName>
    <definedName name="Rwn">Main!$C$15</definedName>
    <definedName name="v0">Main!$C$16</definedName>
    <definedName name="v0r">Main!$C$19</definedName>
    <definedName name="x0f">Main!$C$17</definedName>
    <definedName name="x0r">Main!$C$18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9" l="1" a="1"/>
  <c r="E15" i="9"/>
  <c r="E14" i="9" a="1"/>
  <c r="E14" i="9"/>
  <c r="F6" i="8"/>
  <c r="F7" i="8"/>
  <c r="F8" i="8"/>
  <c r="F9" i="8"/>
  <c r="F10" i="8"/>
  <c r="F11" i="8"/>
  <c r="F5" i="8"/>
  <c r="E16" i="8"/>
  <c r="B15" i="9"/>
  <c r="C4" i="2" l="1"/>
  <c r="B13" i="9" l="1"/>
  <c r="B14" i="9" s="1" a="1"/>
  <c r="B14" i="9" s="1"/>
  <c r="E13" i="9"/>
  <c r="C7" i="6"/>
  <c r="C13" i="6" s="1"/>
  <c r="C6" i="6"/>
  <c r="C4" i="6"/>
  <c r="C5" i="6" s="1"/>
  <c r="C7" i="5"/>
  <c r="C6" i="5"/>
  <c r="C4" i="5"/>
  <c r="C5" i="5" s="1"/>
  <c r="C7" i="4"/>
  <c r="C6" i="4"/>
  <c r="C4" i="4"/>
  <c r="C5" i="4" s="1"/>
  <c r="C7" i="3"/>
  <c r="C4" i="3"/>
  <c r="C5" i="3" s="1"/>
  <c r="C6" i="3"/>
  <c r="C7" i="2"/>
  <c r="C5" i="2"/>
  <c r="C6" i="2"/>
  <c r="C7" i="1"/>
  <c r="C6" i="1"/>
  <c r="C4" i="1"/>
  <c r="C5" i="1" s="1"/>
  <c r="I12" i="7"/>
  <c r="I13" i="7"/>
  <c r="I14" i="7"/>
  <c r="I15" i="7"/>
  <c r="I11" i="7"/>
  <c r="H12" i="7"/>
  <c r="H13" i="7"/>
  <c r="H14" i="7"/>
  <c r="H15" i="7"/>
  <c r="H11" i="7"/>
  <c r="I4" i="7"/>
  <c r="I5" i="7"/>
  <c r="I6" i="7"/>
  <c r="I7" i="7"/>
  <c r="I3" i="7"/>
  <c r="H4" i="7"/>
  <c r="H5" i="7"/>
  <c r="H6" i="7"/>
  <c r="H7" i="7"/>
  <c r="H3" i="7"/>
  <c r="E4" i="9" a="1"/>
  <c r="E4" i="9" s="1"/>
  <c r="E5" i="9" s="1" a="1"/>
  <c r="E5" i="9" s="1"/>
  <c r="B4" i="9" a="1"/>
  <c r="B4" i="9" s="1"/>
  <c r="B5" i="9" s="1" a="1"/>
  <c r="B5" i="9" s="1"/>
  <c r="C14" i="6" l="1"/>
  <c r="C28" i="6"/>
  <c r="C27" i="6"/>
  <c r="C19" i="6"/>
  <c r="C15" i="6"/>
  <c r="C21" i="6" s="1"/>
  <c r="C12" i="6"/>
  <c r="C28" i="5"/>
  <c r="C27" i="5"/>
  <c r="C19" i="5"/>
  <c r="C15" i="5"/>
  <c r="C14" i="5"/>
  <c r="C13" i="5"/>
  <c r="C12" i="5"/>
  <c r="C28" i="4"/>
  <c r="C27" i="4"/>
  <c r="C19" i="4"/>
  <c r="C15" i="4"/>
  <c r="C14" i="4"/>
  <c r="C13" i="4"/>
  <c r="C21" i="4" s="1"/>
  <c r="C12" i="4"/>
  <c r="C20" i="4" s="1"/>
  <c r="C28" i="3"/>
  <c r="C27" i="3"/>
  <c r="C19" i="3"/>
  <c r="C15" i="3"/>
  <c r="C14" i="3"/>
  <c r="C13" i="3"/>
  <c r="C12" i="3"/>
  <c r="C15" i="2"/>
  <c r="C14" i="2"/>
  <c r="C13" i="2"/>
  <c r="C21" i="2" s="1"/>
  <c r="C12" i="2"/>
  <c r="C19" i="2"/>
  <c r="C19" i="1"/>
  <c r="C21" i="5" l="1"/>
  <c r="C20" i="6"/>
  <c r="C20" i="5"/>
  <c r="C20" i="3"/>
  <c r="C21" i="3"/>
  <c r="C20" i="2"/>
  <c r="G3" i="6"/>
  <c r="H3" i="5"/>
  <c r="H3" i="6"/>
  <c r="G3" i="4"/>
  <c r="G3" i="3"/>
  <c r="H3" i="3"/>
  <c r="G3" i="5"/>
  <c r="H3" i="4"/>
  <c r="G3" i="2"/>
  <c r="H3" i="2"/>
  <c r="H4" i="2" s="1"/>
  <c r="C28" i="2"/>
  <c r="C27" i="2"/>
  <c r="G103" i="3" l="1"/>
  <c r="G4" i="2"/>
  <c r="H5" i="6"/>
  <c r="H9" i="6"/>
  <c r="H13" i="6"/>
  <c r="H17" i="6"/>
  <c r="H21" i="6"/>
  <c r="H25" i="6"/>
  <c r="H29" i="6"/>
  <c r="H33" i="6"/>
  <c r="H37" i="6"/>
  <c r="H41" i="6"/>
  <c r="H45" i="6"/>
  <c r="H49" i="6"/>
  <c r="H53" i="6"/>
  <c r="H57" i="6"/>
  <c r="H61" i="6"/>
  <c r="H65" i="6"/>
  <c r="H69" i="6"/>
  <c r="H73" i="6"/>
  <c r="H77" i="6"/>
  <c r="H81" i="6"/>
  <c r="H85" i="6"/>
  <c r="H89" i="6"/>
  <c r="H93" i="6"/>
  <c r="H97" i="6"/>
  <c r="H101" i="6"/>
  <c r="H6" i="6"/>
  <c r="H10" i="6"/>
  <c r="H14" i="6"/>
  <c r="H18" i="6"/>
  <c r="H22" i="6"/>
  <c r="H26" i="6"/>
  <c r="H30" i="6"/>
  <c r="H34" i="6"/>
  <c r="H38" i="6"/>
  <c r="H42" i="6"/>
  <c r="H46" i="6"/>
  <c r="H50" i="6"/>
  <c r="H54" i="6"/>
  <c r="H58" i="6"/>
  <c r="H62" i="6"/>
  <c r="H66" i="6"/>
  <c r="H70" i="6"/>
  <c r="H74" i="6"/>
  <c r="H78" i="6"/>
  <c r="H82" i="6"/>
  <c r="H86" i="6"/>
  <c r="H90" i="6"/>
  <c r="H94" i="6"/>
  <c r="H98" i="6"/>
  <c r="H102" i="6"/>
  <c r="H7" i="6"/>
  <c r="H11" i="6"/>
  <c r="H15" i="6"/>
  <c r="H19" i="6"/>
  <c r="H23" i="6"/>
  <c r="H27" i="6"/>
  <c r="H31" i="6"/>
  <c r="H35" i="6"/>
  <c r="H39" i="6"/>
  <c r="H43" i="6"/>
  <c r="H47" i="6"/>
  <c r="H51" i="6"/>
  <c r="H55" i="6"/>
  <c r="H59" i="6"/>
  <c r="H63" i="6"/>
  <c r="H67" i="6"/>
  <c r="H71" i="6"/>
  <c r="H75" i="6"/>
  <c r="H79" i="6"/>
  <c r="H83" i="6"/>
  <c r="H87" i="6"/>
  <c r="H91" i="6"/>
  <c r="H95" i="6"/>
  <c r="H99" i="6"/>
  <c r="H103" i="6"/>
  <c r="H8" i="6"/>
  <c r="H12" i="6"/>
  <c r="H16" i="6"/>
  <c r="H20" i="6"/>
  <c r="H24" i="6"/>
  <c r="H28" i="6"/>
  <c r="H32" i="6"/>
  <c r="H36" i="6"/>
  <c r="H40" i="6"/>
  <c r="H44" i="6"/>
  <c r="H48" i="6"/>
  <c r="H52" i="6"/>
  <c r="H56" i="6"/>
  <c r="H60" i="6"/>
  <c r="H64" i="6"/>
  <c r="H68" i="6"/>
  <c r="H72" i="6"/>
  <c r="H76" i="6"/>
  <c r="H80" i="6"/>
  <c r="H84" i="6"/>
  <c r="H88" i="6"/>
  <c r="H92" i="6"/>
  <c r="H96" i="6"/>
  <c r="H100" i="6"/>
  <c r="H4" i="6"/>
  <c r="G6" i="6"/>
  <c r="G10" i="6"/>
  <c r="G14" i="6"/>
  <c r="G18" i="6"/>
  <c r="G22" i="6"/>
  <c r="G26" i="6"/>
  <c r="G30" i="6"/>
  <c r="G34" i="6"/>
  <c r="G38" i="6"/>
  <c r="G42" i="6"/>
  <c r="G46" i="6"/>
  <c r="G50" i="6"/>
  <c r="G54" i="6"/>
  <c r="G58" i="6"/>
  <c r="G62" i="6"/>
  <c r="G66" i="6"/>
  <c r="G70" i="6"/>
  <c r="G74" i="6"/>
  <c r="G78" i="6"/>
  <c r="G82" i="6"/>
  <c r="G86" i="6"/>
  <c r="G90" i="6"/>
  <c r="G94" i="6"/>
  <c r="G98" i="6"/>
  <c r="G102" i="6"/>
  <c r="G7" i="6"/>
  <c r="G11" i="6"/>
  <c r="G15" i="6"/>
  <c r="G19" i="6"/>
  <c r="G23" i="6"/>
  <c r="G27" i="6"/>
  <c r="G31" i="6"/>
  <c r="G35" i="6"/>
  <c r="G39" i="6"/>
  <c r="G43" i="6"/>
  <c r="G47" i="6"/>
  <c r="G51" i="6"/>
  <c r="G55" i="6"/>
  <c r="G59" i="6"/>
  <c r="G63" i="6"/>
  <c r="G67" i="6"/>
  <c r="G71" i="6"/>
  <c r="G75" i="6"/>
  <c r="G79" i="6"/>
  <c r="G83" i="6"/>
  <c r="G87" i="6"/>
  <c r="G91" i="6"/>
  <c r="G95" i="6"/>
  <c r="G99" i="6"/>
  <c r="G103" i="6"/>
  <c r="G8" i="6"/>
  <c r="G12" i="6"/>
  <c r="G16" i="6"/>
  <c r="G20" i="6"/>
  <c r="G24" i="6"/>
  <c r="G28" i="6"/>
  <c r="G32" i="6"/>
  <c r="G36" i="6"/>
  <c r="G40" i="6"/>
  <c r="G44" i="6"/>
  <c r="G48" i="6"/>
  <c r="G52" i="6"/>
  <c r="G56" i="6"/>
  <c r="G60" i="6"/>
  <c r="G64" i="6"/>
  <c r="G68" i="6"/>
  <c r="G72" i="6"/>
  <c r="G76" i="6"/>
  <c r="G80" i="6"/>
  <c r="G84" i="6"/>
  <c r="G88" i="6"/>
  <c r="G92" i="6"/>
  <c r="G96" i="6"/>
  <c r="G100" i="6"/>
  <c r="G4" i="6"/>
  <c r="G5" i="6"/>
  <c r="G9" i="6"/>
  <c r="G13" i="6"/>
  <c r="G17" i="6"/>
  <c r="G21" i="6"/>
  <c r="G25" i="6"/>
  <c r="G29" i="6"/>
  <c r="G33" i="6"/>
  <c r="G37" i="6"/>
  <c r="G41" i="6"/>
  <c r="G45" i="6"/>
  <c r="G49" i="6"/>
  <c r="G53" i="6"/>
  <c r="G57" i="6"/>
  <c r="G61" i="6"/>
  <c r="G65" i="6"/>
  <c r="G69" i="6"/>
  <c r="G73" i="6"/>
  <c r="G77" i="6"/>
  <c r="G81" i="6"/>
  <c r="G85" i="6"/>
  <c r="G89" i="6"/>
  <c r="G93" i="6"/>
  <c r="G97" i="6"/>
  <c r="G101" i="6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4" i="5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4" i="4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4" i="3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G5" i="2"/>
  <c r="G13" i="2"/>
  <c r="G21" i="2"/>
  <c r="G29" i="2"/>
  <c r="G37" i="2"/>
  <c r="G45" i="2"/>
  <c r="G53" i="2"/>
  <c r="G61" i="2"/>
  <c r="G69" i="2"/>
  <c r="G77" i="2"/>
  <c r="G85" i="2"/>
  <c r="G93" i="2"/>
  <c r="G101" i="2"/>
  <c r="G24" i="2"/>
  <c r="G48" i="2"/>
  <c r="G72" i="2"/>
  <c r="G96" i="2"/>
  <c r="G83" i="2"/>
  <c r="G20" i="2"/>
  <c r="G36" i="2"/>
  <c r="G76" i="2"/>
  <c r="G100" i="2"/>
  <c r="G6" i="2"/>
  <c r="G14" i="2"/>
  <c r="G22" i="2"/>
  <c r="G30" i="2"/>
  <c r="G38" i="2"/>
  <c r="G46" i="2"/>
  <c r="G54" i="2"/>
  <c r="G62" i="2"/>
  <c r="G70" i="2"/>
  <c r="G78" i="2"/>
  <c r="G86" i="2"/>
  <c r="G94" i="2"/>
  <c r="G102" i="2"/>
  <c r="G16" i="2"/>
  <c r="G32" i="2"/>
  <c r="G56" i="2"/>
  <c r="G80" i="2"/>
  <c r="G75" i="2"/>
  <c r="G12" i="2"/>
  <c r="G52" i="2"/>
  <c r="G84" i="2"/>
  <c r="G7" i="2"/>
  <c r="G15" i="2"/>
  <c r="G23" i="2"/>
  <c r="G31" i="2"/>
  <c r="G39" i="2"/>
  <c r="G47" i="2"/>
  <c r="G55" i="2"/>
  <c r="G63" i="2"/>
  <c r="G71" i="2"/>
  <c r="G79" i="2"/>
  <c r="G87" i="2"/>
  <c r="G95" i="2"/>
  <c r="G103" i="2"/>
  <c r="G8" i="2"/>
  <c r="G40" i="2"/>
  <c r="G64" i="2"/>
  <c r="G88" i="2"/>
  <c r="G91" i="2"/>
  <c r="G28" i="2"/>
  <c r="G60" i="2"/>
  <c r="G9" i="2"/>
  <c r="G17" i="2"/>
  <c r="G25" i="2"/>
  <c r="G33" i="2"/>
  <c r="G41" i="2"/>
  <c r="G49" i="2"/>
  <c r="G57" i="2"/>
  <c r="G65" i="2"/>
  <c r="G73" i="2"/>
  <c r="G81" i="2"/>
  <c r="G89" i="2"/>
  <c r="G97" i="2"/>
  <c r="G11" i="2"/>
  <c r="G19" i="2"/>
  <c r="G27" i="2"/>
  <c r="G35" i="2"/>
  <c r="G43" i="2"/>
  <c r="G51" i="2"/>
  <c r="G59" i="2"/>
  <c r="G67" i="2"/>
  <c r="G99" i="2"/>
  <c r="G44" i="2"/>
  <c r="G68" i="2"/>
  <c r="G92" i="2"/>
  <c r="G10" i="2"/>
  <c r="G18" i="2"/>
  <c r="G26" i="2"/>
  <c r="G34" i="2"/>
  <c r="G42" i="2"/>
  <c r="G50" i="2"/>
  <c r="G58" i="2"/>
  <c r="G66" i="2"/>
  <c r="G74" i="2"/>
  <c r="G82" i="2"/>
  <c r="G90" i="2"/>
  <c r="G98" i="2"/>
  <c r="C12" i="1"/>
  <c r="C27" i="1"/>
  <c r="C28" i="1"/>
  <c r="G3" i="1" l="1"/>
  <c r="C14" i="1" l="1"/>
  <c r="C15" i="1"/>
  <c r="C20" i="1" l="1"/>
  <c r="C13" i="1"/>
  <c r="G8" i="1" l="1"/>
  <c r="G12" i="1"/>
  <c r="G16" i="1"/>
  <c r="G20" i="1"/>
  <c r="G24" i="1"/>
  <c r="G28" i="1"/>
  <c r="G32" i="1"/>
  <c r="G36" i="1"/>
  <c r="G40" i="1"/>
  <c r="G44" i="1"/>
  <c r="G48" i="1"/>
  <c r="G52" i="1"/>
  <c r="G56" i="1"/>
  <c r="G60" i="1"/>
  <c r="G64" i="1"/>
  <c r="G68" i="1"/>
  <c r="G72" i="1"/>
  <c r="G76" i="1"/>
  <c r="G80" i="1"/>
  <c r="G84" i="1"/>
  <c r="G88" i="1"/>
  <c r="G92" i="1"/>
  <c r="G96" i="1"/>
  <c r="G100" i="1"/>
  <c r="G4" i="1"/>
  <c r="G27" i="1"/>
  <c r="G47" i="1"/>
  <c r="G63" i="1"/>
  <c r="G75" i="1"/>
  <c r="G87" i="1"/>
  <c r="G99" i="1"/>
  <c r="G5" i="1"/>
  <c r="G9" i="1"/>
  <c r="G13" i="1"/>
  <c r="G17" i="1"/>
  <c r="G21" i="1"/>
  <c r="G25" i="1"/>
  <c r="G29" i="1"/>
  <c r="G33" i="1"/>
  <c r="G37" i="1"/>
  <c r="G41" i="1"/>
  <c r="G45" i="1"/>
  <c r="G49" i="1"/>
  <c r="G53" i="1"/>
  <c r="G57" i="1"/>
  <c r="G61" i="1"/>
  <c r="G65" i="1"/>
  <c r="G69" i="1"/>
  <c r="G73" i="1"/>
  <c r="G77" i="1"/>
  <c r="G81" i="1"/>
  <c r="G85" i="1"/>
  <c r="G89" i="1"/>
  <c r="G93" i="1"/>
  <c r="G97" i="1"/>
  <c r="G101" i="1"/>
  <c r="G11" i="1"/>
  <c r="G19" i="1"/>
  <c r="G23" i="1"/>
  <c r="G35" i="1"/>
  <c r="G43" i="1"/>
  <c r="G55" i="1"/>
  <c r="G71" i="1"/>
  <c r="G83" i="1"/>
  <c r="G95" i="1"/>
  <c r="G103" i="1"/>
  <c r="G6" i="1"/>
  <c r="G10" i="1"/>
  <c r="G14" i="1"/>
  <c r="G18" i="1"/>
  <c r="G22" i="1"/>
  <c r="G26" i="1"/>
  <c r="G30" i="1"/>
  <c r="G34" i="1"/>
  <c r="G38" i="1"/>
  <c r="G42" i="1"/>
  <c r="G46" i="1"/>
  <c r="G50" i="1"/>
  <c r="G54" i="1"/>
  <c r="G58" i="1"/>
  <c r="G62" i="1"/>
  <c r="G66" i="1"/>
  <c r="G70" i="1"/>
  <c r="G74" i="1"/>
  <c r="G78" i="1"/>
  <c r="G82" i="1"/>
  <c r="G86" i="1"/>
  <c r="G90" i="1"/>
  <c r="G94" i="1"/>
  <c r="G98" i="1"/>
  <c r="G102" i="1"/>
  <c r="G7" i="1"/>
  <c r="G15" i="1"/>
  <c r="G31" i="1"/>
  <c r="G39" i="1"/>
  <c r="G51" i="1"/>
  <c r="G59" i="1"/>
  <c r="G67" i="1"/>
  <c r="G79" i="1"/>
  <c r="G91" i="1"/>
  <c r="C21" i="1"/>
  <c r="H3" i="1"/>
  <c r="H5" i="1" l="1"/>
  <c r="H6" i="1"/>
  <c r="H14" i="1"/>
  <c r="H22" i="1"/>
  <c r="H30" i="1"/>
  <c r="H38" i="1"/>
  <c r="H46" i="1"/>
  <c r="H54" i="1"/>
  <c r="H62" i="1"/>
  <c r="H70" i="1"/>
  <c r="H78" i="1"/>
  <c r="H86" i="1"/>
  <c r="H94" i="1"/>
  <c r="H102" i="1"/>
  <c r="H15" i="1"/>
  <c r="H23" i="1"/>
  <c r="H31" i="1"/>
  <c r="H39" i="1"/>
  <c r="H47" i="1"/>
  <c r="H55" i="1"/>
  <c r="H63" i="1"/>
  <c r="H71" i="1"/>
  <c r="H79" i="1"/>
  <c r="H87" i="1"/>
  <c r="H95" i="1"/>
  <c r="H103" i="1"/>
  <c r="H16" i="1"/>
  <c r="H24" i="1"/>
  <c r="H32" i="1"/>
  <c r="H40" i="1"/>
  <c r="H48" i="1"/>
  <c r="H56" i="1"/>
  <c r="H64" i="1"/>
  <c r="H72" i="1"/>
  <c r="H7" i="1"/>
  <c r="H8" i="1"/>
  <c r="H9" i="1"/>
  <c r="H10" i="1"/>
  <c r="H18" i="1"/>
  <c r="H26" i="1"/>
  <c r="H34" i="1"/>
  <c r="H42" i="1"/>
  <c r="H50" i="1"/>
  <c r="H58" i="1"/>
  <c r="H66" i="1"/>
  <c r="H74" i="1"/>
  <c r="H82" i="1"/>
  <c r="H90" i="1"/>
  <c r="H98" i="1"/>
  <c r="H19" i="1"/>
  <c r="H27" i="1"/>
  <c r="H35" i="1"/>
  <c r="H43" i="1"/>
  <c r="H51" i="1"/>
  <c r="H59" i="1"/>
  <c r="H67" i="1"/>
  <c r="H75" i="1"/>
  <c r="H83" i="1"/>
  <c r="H91" i="1"/>
  <c r="H99" i="1"/>
  <c r="H20" i="1"/>
  <c r="H28" i="1"/>
  <c r="H36" i="1"/>
  <c r="H44" i="1"/>
  <c r="H52" i="1"/>
  <c r="H60" i="1"/>
  <c r="H68" i="1"/>
  <c r="H76" i="1"/>
  <c r="H84" i="1"/>
  <c r="H92" i="1"/>
  <c r="H100" i="1"/>
  <c r="H13" i="1"/>
  <c r="H21" i="1"/>
  <c r="H29" i="1"/>
  <c r="H37" i="1"/>
  <c r="H45" i="1"/>
  <c r="H53" i="1"/>
  <c r="H61" i="1"/>
  <c r="H69" i="1"/>
  <c r="H77" i="1"/>
  <c r="H85" i="1"/>
  <c r="H93" i="1"/>
  <c r="H101" i="1"/>
  <c r="H80" i="1"/>
  <c r="H88" i="1"/>
  <c r="H96" i="1"/>
  <c r="H4" i="1"/>
  <c r="H17" i="1"/>
  <c r="H25" i="1"/>
  <c r="H33" i="1"/>
  <c r="H41" i="1"/>
  <c r="H49" i="1"/>
  <c r="H57" i="1"/>
  <c r="H65" i="1"/>
  <c r="H73" i="1"/>
  <c r="H81" i="1"/>
  <c r="H89" i="1"/>
  <c r="H11" i="1"/>
  <c r="H12" i="1"/>
  <c r="H9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<sst xmlns="http://schemas.openxmlformats.org/spreadsheetml/2006/main" count="689" uniqueCount="163">
  <si>
    <t>Calculated Values</t>
  </si>
  <si>
    <t>Initial Values</t>
  </si>
  <si>
    <t>Front Fork</t>
  </si>
  <si>
    <t>Rear Spring</t>
  </si>
  <si>
    <t>Bike Mass</t>
  </si>
  <si>
    <t>bm</t>
  </si>
  <si>
    <t>kg</t>
  </si>
  <si>
    <t>Time (s)</t>
  </si>
  <si>
    <t>Person Mass</t>
  </si>
  <si>
    <t>pm</t>
  </si>
  <si>
    <t>Overall Mass</t>
  </si>
  <si>
    <t>m</t>
  </si>
  <si>
    <t>Front sprung mass</t>
  </si>
  <si>
    <t>mf</t>
  </si>
  <si>
    <t>Rear sprung mass</t>
  </si>
  <si>
    <t>mr</t>
  </si>
  <si>
    <t>Front fork stiffness</t>
  </si>
  <si>
    <t>kF</t>
  </si>
  <si>
    <t>N/m</t>
  </si>
  <si>
    <t>Rear spring stiffness</t>
  </si>
  <si>
    <t>kR</t>
  </si>
  <si>
    <t>Front damper value</t>
  </si>
  <si>
    <t>λF</t>
  </si>
  <si>
    <t>kg/s</t>
  </si>
  <si>
    <t>Rear damper value</t>
  </si>
  <si>
    <t>λR</t>
  </si>
  <si>
    <t>Front damping coefficient</t>
  </si>
  <si>
    <t>ϛF</t>
  </si>
  <si>
    <t>Ns/m</t>
  </si>
  <si>
    <t>Rear damping coefficient</t>
  </si>
  <si>
    <t>ϛR</t>
  </si>
  <si>
    <t>Front natural frequency</t>
  </si>
  <si>
    <t>Fωn</t>
  </si>
  <si>
    <t>1/s</t>
  </si>
  <si>
    <t>Rear natural frequency</t>
  </si>
  <si>
    <t>Rωn</t>
  </si>
  <si>
    <t>Front Initial shock speed</t>
  </si>
  <si>
    <t>v0</t>
  </si>
  <si>
    <t>m/s</t>
  </si>
  <si>
    <t>Front sag</t>
  </si>
  <si>
    <t>x0f</t>
  </si>
  <si>
    <t>Rear sag</t>
  </si>
  <si>
    <t>x0r</t>
  </si>
  <si>
    <t>Rear initial shock speed</t>
  </si>
  <si>
    <t>v0r</t>
  </si>
  <si>
    <t>Front damped frequency</t>
  </si>
  <si>
    <r>
      <t>F</t>
    </r>
    <r>
      <rPr>
        <sz val="11"/>
        <color theme="1"/>
        <rFont val="Calibri"/>
        <family val="2"/>
      </rPr>
      <t>ωd</t>
    </r>
  </si>
  <si>
    <t>Rear damped frequency</t>
  </si>
  <si>
    <r>
      <t>R</t>
    </r>
    <r>
      <rPr>
        <sz val="11"/>
        <color theme="1"/>
        <rFont val="Calibri"/>
        <family val="2"/>
      </rPr>
      <t>ωd</t>
    </r>
  </si>
  <si>
    <t>Front Fork Travel</t>
  </si>
  <si>
    <t>FT</t>
  </si>
  <si>
    <t>Rear Shock Travel</t>
  </si>
  <si>
    <t>RT</t>
  </si>
  <si>
    <t>Leverage Ratio</t>
  </si>
  <si>
    <t>LR</t>
  </si>
  <si>
    <t>unitless</t>
  </si>
  <si>
    <t>Grade direction</t>
  </si>
  <si>
    <t>D</t>
  </si>
  <si>
    <t>Descending</t>
  </si>
  <si>
    <t>Grade Rating</t>
  </si>
  <si>
    <t>G</t>
  </si>
  <si>
    <t>&gt;10%</t>
  </si>
  <si>
    <t>Front Bias</t>
  </si>
  <si>
    <t>FB</t>
  </si>
  <si>
    <t>%</t>
  </si>
  <si>
    <t>Rear Bias</t>
  </si>
  <si>
    <t>RB</t>
  </si>
  <si>
    <t>Fork and Shock Setup Guide</t>
  </si>
  <si>
    <t>Rider Weight</t>
  </si>
  <si>
    <t>Fork Setup</t>
  </si>
  <si>
    <t>Shock Setup</t>
  </si>
  <si>
    <t xml:space="preserve">Fork Pressure </t>
  </si>
  <si>
    <t>psi</t>
  </si>
  <si>
    <t>Shock Pressure</t>
  </si>
  <si>
    <t>Rebound</t>
  </si>
  <si>
    <t>clicks from closed (all the way clockwise)</t>
  </si>
  <si>
    <t xml:space="preserve">Rebound </t>
  </si>
  <si>
    <t>Compression</t>
  </si>
  <si>
    <t>Open</t>
  </si>
  <si>
    <t>Middle Setting</t>
  </si>
  <si>
    <t>Adjustments for terrain</t>
  </si>
  <si>
    <t>Are you going up or down?</t>
  </si>
  <si>
    <t>Ascending</t>
  </si>
  <si>
    <t>What terrain are you riding?</t>
  </si>
  <si>
    <t>White Circle</t>
  </si>
  <si>
    <t>Fork Adjustments</t>
  </si>
  <si>
    <t>Shock Adjustments</t>
  </si>
  <si>
    <t>Damper Value</t>
  </si>
  <si>
    <t>Rebound Adjustment</t>
  </si>
  <si>
    <t>Clicks</t>
  </si>
  <si>
    <t>Clicks("-" means going towards slow, "+" is going towards fast</t>
  </si>
  <si>
    <t>Dylan</t>
  </si>
  <si>
    <t>grade</t>
  </si>
  <si>
    <t>angle</t>
  </si>
  <si>
    <t>h (mm)</t>
  </si>
  <si>
    <t>front (lbs)</t>
  </si>
  <si>
    <t>rear (lbs)</t>
  </si>
  <si>
    <t>front bias %</t>
  </si>
  <si>
    <t>rear bias %</t>
  </si>
  <si>
    <t>decimal F</t>
  </si>
  <si>
    <t>decimal R</t>
  </si>
  <si>
    <t>Wheelbase</t>
  </si>
  <si>
    <t>mm</t>
  </si>
  <si>
    <t>&gt;5%</t>
  </si>
  <si>
    <t>Green Circle</t>
  </si>
  <si>
    <t>Blue Square</t>
  </si>
  <si>
    <t>&gt;15%</t>
  </si>
  <si>
    <t xml:space="preserve">Black Diamond </t>
  </si>
  <si>
    <t>&lt;20%</t>
  </si>
  <si>
    <t xml:space="preserve">Double Black </t>
  </si>
  <si>
    <t>Bill of Materials</t>
  </si>
  <si>
    <t>Brand</t>
  </si>
  <si>
    <t>Item</t>
  </si>
  <si>
    <t>Quantity</t>
  </si>
  <si>
    <t>Source</t>
  </si>
  <si>
    <t xml:space="preserve">Cost </t>
  </si>
  <si>
    <t>Status</t>
  </si>
  <si>
    <t>Raccooz</t>
  </si>
  <si>
    <t>Linkage X3</t>
  </si>
  <si>
    <t>Bikechecker</t>
  </si>
  <si>
    <t>Budget Financed</t>
  </si>
  <si>
    <t>Elegoo</t>
  </si>
  <si>
    <t>Arduino Mega 2560 kit</t>
  </si>
  <si>
    <t>Amazon</t>
  </si>
  <si>
    <t>HiLetGo</t>
  </si>
  <si>
    <t xml:space="preserve">Micro-SD Breakout </t>
  </si>
  <si>
    <t>Reimbursement Pending</t>
  </si>
  <si>
    <t>Adafruit</t>
  </si>
  <si>
    <t>VL53L0X Lidar Sensor</t>
  </si>
  <si>
    <t>NAU</t>
  </si>
  <si>
    <t>3D-Printed Arduino Box</t>
  </si>
  <si>
    <t>MakerLab</t>
  </si>
  <si>
    <t>3D-Printed Lidar Bracket</t>
  </si>
  <si>
    <t>3D-printed LP Brackets</t>
  </si>
  <si>
    <t>3D-Printed Device Parts</t>
  </si>
  <si>
    <t>MI</t>
  </si>
  <si>
    <t>Linear Potentiometer Kit</t>
  </si>
  <si>
    <t>Motion Instruments</t>
  </si>
  <si>
    <t>Microsoft</t>
  </si>
  <si>
    <t>Mathematical Model</t>
  </si>
  <si>
    <t>Excel</t>
  </si>
  <si>
    <t>Available</t>
  </si>
  <si>
    <t>Rockshox</t>
  </si>
  <si>
    <t>Monarch RL</t>
  </si>
  <si>
    <t>Local Bike Shop</t>
  </si>
  <si>
    <t>Donated</t>
  </si>
  <si>
    <t>SOLIDWORKS</t>
  </si>
  <si>
    <t>CAD Models as Needed</t>
  </si>
  <si>
    <t>Niner</t>
  </si>
  <si>
    <t>Rip 9 29er FS Bike</t>
  </si>
  <si>
    <t>Niner Engineers</t>
  </si>
  <si>
    <t>Total</t>
  </si>
  <si>
    <t>Budget</t>
  </si>
  <si>
    <t>Average Speed</t>
  </si>
  <si>
    <t>vbar</t>
  </si>
  <si>
    <t>Average Bump Height</t>
  </si>
  <si>
    <t>ybar</t>
  </si>
  <si>
    <t>Average Bump Frequency</t>
  </si>
  <si>
    <t>fbar</t>
  </si>
  <si>
    <t>Average Speed (A)</t>
  </si>
  <si>
    <t>vbarA</t>
  </si>
  <si>
    <t>Average Speed (D)</t>
  </si>
  <si>
    <t>vbarD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</si>
</sst>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164" formatCode="0.0000"/>
    <numFmt numFmtId="165" formatCode="0.000"/>
    <numFmt numFmtId="166" formatCode="&quot;$&quot;#,##0.00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sz val="11"/>
      <color rgb="FF444444"/>
      <name val="Calibri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2" borderId="1" xfId="0" applyFill="1" applyBorder="1"/>
    <xf numFmtId="0" fontId="1" fillId="3" borderId="1" xfId="0" applyFont="1" applyFill="1" applyBorder="1"/>
    <xf numFmtId="0" fontId="0" fillId="3" borderId="1" xfId="0" applyFill="1" applyBorder="1"/>
    <xf numFmtId="0" fontId="2" fillId="3" borderId="1" xfId="0" applyFont="1" applyFill="1" applyBorder="1"/>
    <xf numFmtId="0" fontId="0" fillId="4" borderId="2" xfId="0" applyFill="1" applyBorder="1"/>
    <xf numFmtId="0" fontId="0" fillId="3" borderId="0" xfId="0" applyFill="1"/>
    <xf numFmtId="164" fontId="0" fillId="3" borderId="1" xfId="0" applyNumberFormat="1" applyFill="1" applyBorder="1"/>
    <xf numFmtId="0" fontId="0" fillId="0" borderId="0" xfId="0" applyAlignment="1">
      <alignment vertical="center"/>
    </xf>
    <xf numFmtId="0" fontId="0" fillId="3" borderId="3" xfId="0" applyFill="1" applyBorder="1"/>
    <xf numFmtId="164" fontId="0" fillId="3" borderId="0" xfId="0" applyNumberFormat="1" applyFill="1"/>
    <xf numFmtId="0" fontId="3" fillId="0" borderId="0" xfId="0" applyFont="1"/>
    <xf numFmtId="9" fontId="0" fillId="0" borderId="0" xfId="0" applyNumberFormat="1"/>
    <xf numFmtId="9" fontId="3" fillId="0" borderId="0" xfId="0" applyNumberFormat="1" applyFont="1"/>
    <xf numFmtId="2" fontId="3" fillId="0" borderId="0" xfId="0" applyNumberFormat="1" applyFont="1"/>
    <xf numFmtId="2" fontId="0" fillId="3" borderId="1" xfId="0" applyNumberFormat="1" applyFill="1" applyBorder="1"/>
    <xf numFmtId="9" fontId="0" fillId="2" borderId="1" xfId="0" applyNumberFormat="1" applyFill="1" applyBorder="1"/>
    <xf numFmtId="0" fontId="1" fillId="5" borderId="4" xfId="0" applyFont="1" applyFill="1" applyBorder="1"/>
    <xf numFmtId="0" fontId="0" fillId="5" borderId="4" xfId="0" applyFill="1" applyBorder="1"/>
    <xf numFmtId="0" fontId="0" fillId="6" borderId="4" xfId="0" applyFill="1" applyBorder="1"/>
    <xf numFmtId="0" fontId="0" fillId="7" borderId="4" xfId="0" applyFill="1" applyBorder="1"/>
    <xf numFmtId="8" fontId="0" fillId="7" borderId="4" xfId="0" applyNumberFormat="1" applyFill="1" applyBorder="1"/>
    <xf numFmtId="0" fontId="0" fillId="8" borderId="4" xfId="0" applyFill="1" applyBorder="1"/>
    <xf numFmtId="6" fontId="0" fillId="8" borderId="4" xfId="0" applyNumberFormat="1" applyFill="1" applyBorder="1"/>
    <xf numFmtId="0" fontId="0" fillId="8" borderId="5" xfId="0" applyFill="1" applyBorder="1"/>
    <xf numFmtId="6" fontId="0" fillId="8" borderId="5" xfId="0" applyNumberFormat="1" applyFill="1" applyBorder="1"/>
    <xf numFmtId="6" fontId="0" fillId="5" borderId="4" xfId="0" applyNumberFormat="1" applyFill="1" applyBorder="1"/>
    <xf numFmtId="0" fontId="0" fillId="0" borderId="1" xfId="0" applyBorder="1"/>
    <xf numFmtId="0" fontId="0" fillId="0" borderId="6" xfId="0" applyBorder="1"/>
    <xf numFmtId="0" fontId="0" fillId="0" borderId="7" xfId="0" applyBorder="1"/>
    <xf numFmtId="0" fontId="0" fillId="9" borderId="0" xfId="0" applyFill="1"/>
    <xf numFmtId="0" fontId="0" fillId="0" borderId="1" xfId="0" applyBorder="1" applyAlignment="1"/>
    <xf numFmtId="164" fontId="3" fillId="0" borderId="0" xfId="0" applyNumberFormat="1" applyFont="1"/>
    <xf numFmtId="2" fontId="4" fillId="7" borderId="4" xfId="0" quotePrefix="1" applyNumberFormat="1" applyFont="1" applyFill="1" applyBorder="1" applyAlignment="1">
      <alignment wrapText="1"/>
    </xf>
    <xf numFmtId="2" fontId="3" fillId="7" borderId="4" xfId="0" applyNumberFormat="1" applyFont="1" applyFill="1" applyBorder="1"/>
    <xf numFmtId="0" fontId="0" fillId="3" borderId="8" xfId="0" applyFill="1" applyBorder="1"/>
    <xf numFmtId="0" fontId="0" fillId="3" borderId="9" xfId="0" applyFill="1" applyBorder="1"/>
    <xf numFmtId="0" fontId="0" fillId="3" borderId="7" xfId="0" applyFill="1" applyBorder="1"/>
    <xf numFmtId="0" fontId="0" fillId="2" borderId="10" xfId="0" applyFill="1" applyBorder="1"/>
    <xf numFmtId="165" fontId="0" fillId="3" borderId="1" xfId="0" applyNumberFormat="1" applyFill="1" applyBorder="1"/>
    <xf numFmtId="0" fontId="0" fillId="9" borderId="7" xfId="0" applyFill="1" applyBorder="1"/>
    <xf numFmtId="0" fontId="0" fillId="9" borderId="10" xfId="0" applyFill="1" applyBorder="1"/>
    <xf numFmtId="0" fontId="0" fillId="0" borderId="0" xfId="0" applyBorder="1" applyAlignment="1"/>
    <xf numFmtId="166" fontId="0" fillId="0" borderId="1" xfId="0" applyNumberFormat="1" applyBorder="1"/>
    <xf numFmtId="165" fontId="0" fillId="0" borderId="0" xfId="0" applyNumberFormat="1"/>
    <xf numFmtId="0" fontId="0" fillId="10" borderId="1" xfId="0" applyFill="1" applyBorder="1"/>
    <xf numFmtId="0" fontId="0" fillId="10" borderId="3" xfId="0" applyFill="1" applyBorder="1"/>
    <xf numFmtId="0" fontId="0" fillId="10" borderId="0" xfId="0" applyFill="1"/>
    <xf numFmtId="2" fontId="0" fillId="10" borderId="1" xfId="0" applyNumberFormat="1" applyFill="1" applyBorder="1" applyAlignment="1"/>
    <xf numFmtId="8" fontId="0" fillId="6" borderId="4" xfId="0" applyNumberFormat="1" applyFill="1" applyBorder="1"/>
    <xf numFmtId="8" fontId="0" fillId="5" borderId="4" xfId="0" applyNumberFormat="1" applyFill="1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Air Shock Displacement vs Time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Main!$G$1:$G$3</c:f>
              <c:strCache>
                <c:ptCount val="3"/>
                <c:pt idx="0">
                  <c:v>Calculated Values</c:v>
                </c:pt>
                <c:pt idx="1">
                  <c:v>Front Fork</c:v>
                </c:pt>
                <c:pt idx="2">
                  <c:v>Underdamped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Main!$F$4:$F$103</c:f>
              <c:numCache>
                <c:formatCode>General</c:formatCode>
                <c:ptCount val="10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</c:numCache>
            </c:numRef>
          </c:xVal>
          <c:yVal>
            <c:numRef>
              <c:f>Main!$G$4:$G$103</c:f>
              <c:numCache>
                <c:formatCode>General</c:formatCode>
                <c:ptCount val="100"/>
                <c:pt idx="0">
                  <c:v>4.8848788325935685E-2</c:v>
                </c:pt>
                <c:pt idx="1">
                  <c:v>6.0539271831152798E-2</c:v>
                </c:pt>
                <c:pt idx="2">
                  <c:v>7.027692389435429E-2</c:v>
                </c:pt>
                <c:pt idx="3">
                  <c:v>7.8253351684139771E-2</c:v>
                </c:pt>
                <c:pt idx="4">
                  <c:v>8.4646826266137509E-2</c:v>
                </c:pt>
                <c:pt idx="5">
                  <c:v>8.9622833203320817E-2</c:v>
                </c:pt>
                <c:pt idx="6">
                  <c:v>9.3334637212307656E-2</c:v>
                </c:pt>
                <c:pt idx="7">
                  <c:v>9.5923855192388732E-2</c:v>
                </c:pt>
                <c:pt idx="8">
                  <c:v>9.7521032637047311E-2</c:v>
                </c:pt>
                <c:pt idx="9">
                  <c:v>9.824621907315767E-2</c:v>
                </c:pt>
                <c:pt idx="10">
                  <c:v>9.8209538754172571E-2</c:v>
                </c:pt>
                <c:pt idx="11">
                  <c:v>9.7511753363655224E-2</c:v>
                </c:pt>
                <c:pt idx="12">
                  <c:v>9.6244813967619608E-2</c:v>
                </c:pt>
                <c:pt idx="13">
                  <c:v>9.4492399891376047E-2</c:v>
                </c:pt>
                <c:pt idx="14">
                  <c:v>9.2330442591885623E-2</c:v>
                </c:pt>
                <c:pt idx="15">
                  <c:v>8.9827632952863362E-2</c:v>
                </c:pt>
                <c:pt idx="16">
                  <c:v>8.7045910749771041E-2</c:v>
                </c:pt>
                <c:pt idx="17">
                  <c:v>8.4040935318034138E-2</c:v>
                </c:pt>
                <c:pt idx="18">
                  <c:v>8.0862536712807243E-2</c:v>
                </c:pt>
                <c:pt idx="19">
                  <c:v>7.7555146874787373E-2</c:v>
                </c:pt>
                <c:pt idx="20">
                  <c:v>7.4158210516202611E-2</c:v>
                </c:pt>
                <c:pt idx="21">
                  <c:v>7.0706575616333672E-2</c:v>
                </c:pt>
                <c:pt idx="22">
                  <c:v>6.7230863568786797E-2</c:v>
                </c:pt>
                <c:pt idx="23">
                  <c:v>6.3757819155146001E-2</c:v>
                </c:pt>
                <c:pt idx="24">
                  <c:v>6.0310640633387091E-2</c:v>
                </c:pt>
                <c:pt idx="25">
                  <c:v>5.6909290326230447E-2</c:v>
                </c:pt>
                <c:pt idx="26">
                  <c:v>5.3570786176017821E-2</c:v>
                </c:pt>
                <c:pt idx="27">
                  <c:v>5.0309474800206873E-2</c:v>
                </c:pt>
                <c:pt idx="28">
                  <c:v>4.713728663655542E-2</c:v>
                </c:pt>
                <c:pt idx="29">
                  <c:v>4.406397381079763E-2</c:v>
                </c:pt>
                <c:pt idx="30">
                  <c:v>4.1097331393286106E-2</c:v>
                </c:pt>
                <c:pt idx="31">
                  <c:v>3.8243402735782278E-2</c:v>
                </c:pt>
                <c:pt idx="32">
                  <c:v>3.5506669596340489E-2</c:v>
                </c:pt>
                <c:pt idx="33">
                  <c:v>3.2890227769981226E-2</c:v>
                </c:pt>
                <c:pt idx="34">
                  <c:v>3.0395948946447416E-2</c:v>
                </c:pt>
                <c:pt idx="35">
                  <c:v>2.8024629514568519E-2</c:v>
                </c:pt>
                <c:pt idx="36">
                  <c:v>2.5776127026344648E-2</c:v>
                </c:pt>
                <c:pt idx="37">
                  <c:v>2.3649485023458761E-2</c:v>
                </c:pt>
                <c:pt idx="38">
                  <c:v>2.1643046915130075E-2</c:v>
                </c:pt>
                <c:pt idx="39">
                  <c:v>1.9754559579574778E-2</c:v>
                </c:pt>
                <c:pt idx="40">
                  <c:v>1.7981267342330538E-2</c:v>
                </c:pt>
                <c:pt idx="41">
                  <c:v>1.631999696377082E-2</c:v>
                </c:pt>
                <c:pt idx="42">
                  <c:v>1.4767234245677297E-2</c:v>
                </c:pt>
                <c:pt idx="43">
                  <c:v>1.3319192843108944E-2</c:v>
                </c:pt>
                <c:pt idx="44">
                  <c:v>1.1971875843318687E-2</c:v>
                </c:pt>
                <c:pt idx="45">
                  <c:v>1.0721130648402445E-2</c:v>
                </c:pt>
                <c:pt idx="46">
                  <c:v>9.5626976729669289E-3</c:v>
                </c:pt>
                <c:pt idx="47">
                  <c:v>8.4922533425881332E-3</c:v>
                </c:pt>
                <c:pt idx="48">
                  <c:v>7.505447853390231E-3</c:v>
                </c:pt>
                <c:pt idx="49">
                  <c:v>6.597938127867165E-3</c:v>
                </c:pt>
                <c:pt idx="50">
                  <c:v>5.7654163772374763E-3</c:v>
                </c:pt>
                <c:pt idx="51">
                  <c:v>5.0036346562845986E-3</c:v>
                </c:pt>
                <c:pt idx="52">
                  <c:v>4.3084257728906302E-3</c:v>
                </c:pt>
                <c:pt idx="53">
                  <c:v>3.675720891403902E-3</c:v>
                </c:pt>
                <c:pt idx="54">
                  <c:v>3.1015641466564372E-3</c:v>
                </c:pt>
                <c:pt idx="55">
                  <c:v>2.582124563920366E-3</c:v>
                </c:pt>
                <c:pt idx="56">
                  <c:v>2.1137055594028444E-3</c:v>
                </c:pt>
                <c:pt idx="57">
                  <c:v>1.6927522760571921E-3</c:v>
                </c:pt>
                <c:pt idx="58">
                  <c:v>1.3158569905536654E-3</c:v>
                </c:pt>
                <c:pt idx="59">
                  <c:v>9.7976280921749435E-4</c:v>
                </c:pt>
                <c:pt idx="60">
                  <c:v>6.8136585360893437E-4</c:v>
                </c:pt>
                <c:pt idx="61">
                  <c:v>4.1771612018649937E-4</c:v>
                </c:pt>
                <c:pt idx="62">
                  <c:v>1.8601718315211255E-4</c:v>
                </c:pt>
                <c:pt idx="63">
                  <c:v>-1.6375104888007928E-5</c:v>
                </c:pt>
                <c:pt idx="64">
                  <c:v>-1.9195477341813342E-4</c:v>
                </c:pt>
                <c:pt idx="65">
                  <c:v>-3.4306862740130986E-4</c:v>
                </c:pt>
                <c:pt idx="66">
                  <c:v>-4.7191975725101683E-4</c:v>
                </c:pt>
                <c:pt idx="67">
                  <c:v>-5.8057156023984236E-4</c:v>
                </c:pt>
                <c:pt idx="68">
                  <c:v>-6.7095217860279927E-4</c:v>
                </c:pt>
                <c:pt idx="69">
                  <c:v>-7.448592692667048E-4</c:v>
                </c:pt>
                <c:pt idx="70">
                  <c:v>-8.0396502911141967E-4</c:v>
                </c:pt>
                <c:pt idx="71">
                  <c:v>-8.4982140797512564E-4</c:v>
                </c:pt>
                <c:pt idx="72">
                  <c:v>-8.8386544928597871E-4</c:v>
                </c:pt>
                <c:pt idx="73">
                  <c:v>-9.0742470526838535E-4</c:v>
                </c:pt>
                <c:pt idx="74">
                  <c:v>-9.2172268016557093E-4</c:v>
                </c:pt>
                <c:pt idx="75">
                  <c:v>-9.2788426087257085E-4</c:v>
                </c:pt>
                <c:pt idx="76">
                  <c:v>-9.2694109981627409E-4</c:v>
                </c:pt>
                <c:pt idx="77">
                  <c:v>-9.1983691988204081E-4</c:v>
                </c:pt>
                <c:pt idx="78">
                  <c:v>-9.0743271569936371E-4</c:v>
                </c:pt>
                <c:pt idx="79">
                  <c:v>-8.9051182969075466E-4</c:v>
                </c:pt>
                <c:pt idx="80">
                  <c:v>-8.6978488498640281E-4</c:v>
                </c:pt>
                <c:pt idx="81">
                  <c:v>-8.4589456063890458E-4</c:v>
                </c:pt>
                <c:pt idx="82">
                  <c:v>-8.1942019756337556E-4</c:v>
                </c:pt>
                <c:pt idx="83">
                  <c:v>-7.9088222630312839E-4</c:v>
                </c:pt>
                <c:pt idx="84">
                  <c:v>-7.6074641010340682E-4</c:v>
                </c:pt>
                <c:pt idx="85">
                  <c:v>-7.2942789888791196E-4</c:v>
                </c:pt>
                <c:pt idx="86">
                  <c:v>-6.9729509159626964E-4</c:v>
                </c:pt>
                <c:pt idx="87">
                  <c:v>-6.6467330597540729E-4</c:v>
                </c:pt>
                <c:pt idx="88">
                  <c:v>-6.3184825634311531E-4</c:v>
                </c:pt>
                <c:pt idx="89">
                  <c:v>-5.9906934107578278E-4</c:v>
                </c:pt>
                <c:pt idx="90">
                  <c:v>-5.6655274263140993E-4</c:v>
                </c:pt>
                <c:pt idx="91">
                  <c:v>-5.3448434381928478E-4</c:v>
                </c:pt>
                <c:pt idx="92">
                  <c:v>-5.0302246478408795E-4</c:v>
                </c:pt>
                <c:pt idx="93">
                  <c:v>-4.7230042579845285E-4</c:v>
                </c:pt>
                <c:pt idx="94">
                  <c:v>-4.4242894146713415E-4</c:v>
                </c:pt>
                <c:pt idx="95">
                  <c:v>-4.1349835234987903E-4</c:v>
                </c:pt>
                <c:pt idx="96">
                  <c:v>-3.8558070032001954E-4</c:v>
                </c:pt>
                <c:pt idx="97">
                  <c:v>-3.5873165420201346E-4</c:v>
                </c:pt>
                <c:pt idx="98">
                  <c:v>-3.3299229238314439E-4</c:v>
                </c:pt>
                <c:pt idx="99">
                  <c:v>-3.0839074918113105E-4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74-40C4-B388-58C8E0044042}"/>
            </c:ext>
          </c:extLst>
        </c:ser>
        <c:ser>
          <c:idx val="1"/>
          <c:order val="1"/>
          <c:tx>
            <c:strRef>
              <c:f>Main!$H$1:$H$3</c:f>
              <c:strCache>
                <c:ptCount val="3"/>
                <c:pt idx="0">
                  <c:v>Calculated Values</c:v>
                </c:pt>
                <c:pt idx="1">
                  <c:v>Rear Spring</c:v>
                </c:pt>
                <c:pt idx="2">
                  <c:v>Overdamped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Main!$F$4:$F$103</c:f>
              <c:numCache>
                <c:formatCode>General</c:formatCode>
                <c:ptCount val="10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</c:numCache>
            </c:numRef>
          </c:xVal>
          <c:yVal>
            <c:numRef>
              <c:f>Main!$H$4:$H$103</c:f>
              <c:numCache>
                <c:formatCode>General</c:formatCode>
                <c:ptCount val="100"/>
                <c:pt idx="0">
                  <c:v>2.1534773329879311E-2</c:v>
                </c:pt>
                <c:pt idx="1">
                  <c:v>2.5704900384443317E-2</c:v>
                </c:pt>
                <c:pt idx="2">
                  <c:v>2.8738729989234255E-2</c:v>
                </c:pt>
                <c:pt idx="3">
                  <c:v>3.0831402069037193E-2</c:v>
                </c:pt>
                <c:pt idx="4">
                  <c:v>3.2149336368743987E-2</c:v>
                </c:pt>
                <c:pt idx="5">
                  <c:v>3.2834141182686891E-2</c:v>
                </c:pt>
                <c:pt idx="6">
                  <c:v>3.300601477807856E-2</c:v>
                </c:pt>
                <c:pt idx="7">
                  <c:v>3.2766703288185269E-2</c:v>
                </c:pt>
                <c:pt idx="8">
                  <c:v>3.2202071014947348E-2</c:v>
                </c:pt>
                <c:pt idx="9">
                  <c:v>3.1384332191146065E-2</c:v>
                </c:pt>
                <c:pt idx="10">
                  <c:v>3.0373987196152013E-2</c:v>
                </c:pt>
                <c:pt idx="11">
                  <c:v>2.9221500897314172E-2</c:v>
                </c:pt>
                <c:pt idx="12">
                  <c:v>2.796875611343896E-2</c:v>
                </c:pt>
                <c:pt idx="13">
                  <c:v>2.6650311090204867E-2</c:v>
                </c:pt>
                <c:pt idx="14">
                  <c:v>2.529448627155341E-2</c:v>
                </c:pt>
                <c:pt idx="15">
                  <c:v>2.3924302485961495E-2</c:v>
                </c:pt>
                <c:pt idx="16">
                  <c:v>2.2558289889036954E-2</c:v>
                </c:pt>
                <c:pt idx="17">
                  <c:v>2.1211184567383353E-2</c:v>
                </c:pt>
                <c:pt idx="18">
                  <c:v>1.9894527572002961E-2</c:v>
                </c:pt>
                <c:pt idx="19">
                  <c:v>1.8617179276398051E-2</c:v>
                </c:pt>
                <c:pt idx="20">
                  <c:v>1.7385760313064165E-2</c:v>
                </c:pt>
                <c:pt idx="21">
                  <c:v>1.6205028904131946E-2</c:v>
                </c:pt>
                <c:pt idx="22">
                  <c:v>1.5078203142754727E-2</c:v>
                </c:pt>
                <c:pt idx="23">
                  <c:v>1.40072356796736E-2</c:v>
                </c:pt>
                <c:pt idx="24">
                  <c:v>1.2993047305047505E-2</c:v>
                </c:pt>
                <c:pt idx="25">
                  <c:v>1.2035725072247051E-2</c:v>
                </c:pt>
                <c:pt idx="26">
                  <c:v>1.1134689873040426E-2</c:v>
                </c:pt>
                <c:pt idx="27">
                  <c:v>1.0288837729401309E-2</c:v>
                </c:pt>
                <c:pt idx="28">
                  <c:v>9.4966585045715406E-3</c:v>
                </c:pt>
                <c:pt idx="29">
                  <c:v>8.7563352449336381E-3</c:v>
                </c:pt>
                <c:pt idx="30">
                  <c:v>8.0658269358302587E-3</c:v>
                </c:pt>
                <c:pt idx="31">
                  <c:v>7.4229370809273422E-3</c:v>
                </c:pt>
                <c:pt idx="32">
                  <c:v>6.8253701892195557E-3</c:v>
                </c:pt>
                <c:pt idx="33">
                  <c:v>6.2707779703194168E-3</c:v>
                </c:pt>
                <c:pt idx="34">
                  <c:v>5.7567967919887747E-3</c:v>
                </c:pt>
                <c:pt idx="35">
                  <c:v>5.2810777393404069E-3</c:v>
                </c:pt>
                <c:pt idx="36">
                  <c:v>4.8413104287054086E-3</c:v>
                </c:pt>
                <c:pt idx="37">
                  <c:v>4.4352415672732444E-3</c:v>
                </c:pt>
                <c:pt idx="38">
                  <c:v>4.0606891091503972E-3</c:v>
                </c:pt>
                <c:pt idx="39">
                  <c:v>3.7155527367197161E-3</c:v>
                </c:pt>
                <c:pt idx="40">
                  <c:v>3.397821290724687E-3</c:v>
                </c:pt>
                <c:pt idx="41">
                  <c:v>3.1055776812563417E-3</c:v>
                </c:pt>
                <c:pt idx="42">
                  <c:v>2.8370017329534215E-3</c:v>
                </c:pt>
                <c:pt idx="43">
                  <c:v>2.59037134963464E-3</c:v>
                </c:pt>
                <c:pt idx="44">
                  <c:v>2.3640623248638976E-3</c:v>
                </c:pt>
                <c:pt idx="45">
                  <c:v>2.1565470743793412E-3</c:v>
                </c:pt>
                <c:pt idx="46">
                  <c:v>1.9663925228245536E-3</c:v>
                </c:pt>
                <c:pt idx="47">
                  <c:v>1.7922573398701752E-3</c:v>
                </c:pt>
                <c:pt idx="48">
                  <c:v>1.6328886887908172E-3</c:v>
                </c:pt>
                <c:pt idx="49">
                  <c:v>1.4871186231534713E-3</c:v>
                </c:pt>
                <c:pt idx="50">
                  <c:v>1.3538602438595128E-3</c:v>
                </c:pt>
                <c:pt idx="51">
                  <c:v>1.2321037088219898E-3</c:v>
                </c:pt>
                <c:pt idx="52">
                  <c:v>1.1209121705827586E-3</c:v>
                </c:pt>
                <c:pt idx="53">
                  <c:v>1.0194177027705211E-3</c:v>
                </c:pt>
                <c:pt idx="54">
                  <c:v>9.2681726411486206E-4</c:v>
                </c:pt>
                <c:pt idx="55">
                  <c:v>8.4236873845367724E-4</c:v>
                </c:pt>
                <c:pt idx="56">
                  <c:v>7.6538708053324725E-4</c:v>
                </c:pt>
                <c:pt idx="57">
                  <c:v>6.9524059016872711E-4</c:v>
                </c:pt>
                <c:pt idx="58">
                  <c:v>6.313473313060144E-4</c:v>
                </c:pt>
                <c:pt idx="59">
                  <c:v>5.7317170752905415E-4</c:v>
                </c:pt>
                <c:pt idx="60">
                  <c:v>5.2022120143833755E-4</c:v>
                </c:pt>
                <c:pt idx="61">
                  <c:v>4.72043281956036E-4</c:v>
                </c:pt>
                <c:pt idx="62">
                  <c:v>4.2822248087804861E-4</c:v>
                </c:pt>
                <c:pt idx="63">
                  <c:v>3.8837763779604447E-4</c:v>
                </c:pt>
                <c:pt idx="64">
                  <c:v>3.5215931076959897E-4</c:v>
                </c:pt>
                <c:pt idx="65">
                  <c:v>3.1924734876784955E-4</c:v>
                </c:pt>
                <c:pt idx="66">
                  <c:v>2.8934862085990898E-4</c:v>
                </c:pt>
                <c:pt idx="67">
                  <c:v>2.6219489636066998E-4</c:v>
                </c:pt>
                <c:pt idx="68">
                  <c:v>2.3754086958829678E-4</c:v>
                </c:pt>
                <c:pt idx="69">
                  <c:v>2.1516232252300079E-4</c:v>
                </c:pt>
                <c:pt idx="70">
                  <c:v>1.9485441844066027E-4</c:v>
                </c:pt>
                <c:pt idx="71">
                  <c:v>1.7643011950147357E-4</c:v>
                </c:pt>
                <c:pt idx="72">
                  <c:v>1.5971872127943108E-4</c:v>
                </c:pt>
                <c:pt idx="73">
                  <c:v>1.4456449730282101E-4</c:v>
                </c:pt>
                <c:pt idx="74">
                  <c:v>1.3082544682240307E-4</c:v>
                </c:pt>
                <c:pt idx="75">
                  <c:v>1.183721392180504E-4</c:v>
                </c:pt>
                <c:pt idx="76">
                  <c:v>1.0708664868472392E-4</c:v>
                </c:pt>
                <c:pt idx="77">
                  <c:v>9.6861573094717305E-5</c:v>
                </c:pt>
                <c:pt idx="78">
                  <c:v>8.7599131207018923E-5</c:v>
                </c:pt>
                <c:pt idx="79">
                  <c:v>7.9210332679640491E-5</c:v>
                </c:pt>
                <c:pt idx="80">
                  <c:v>7.1614215631382537E-5</c:v>
                </c:pt>
                <c:pt idx="81">
                  <c:v>6.4737146791279382E-5</c:v>
                </c:pt>
                <c:pt idx="82">
                  <c:v>5.8512179563336305E-5</c:v>
                </c:pt>
                <c:pt idx="83">
                  <c:v>5.2878465618329623E-5</c:v>
                </c:pt>
                <c:pt idx="84">
                  <c:v>4.7780715901185975E-5</c:v>
                </c:pt>
                <c:pt idx="85">
                  <c:v>4.3168707210149414E-5</c:v>
                </c:pt>
                <c:pt idx="86">
                  <c:v>3.8996830761346804E-5</c:v>
                </c:pt>
                <c:pt idx="87">
                  <c:v>3.5223679398626555E-5</c:v>
                </c:pt>
                <c:pt idx="88">
                  <c:v>3.1811670343114972E-5</c:v>
                </c:pt>
                <c:pt idx="89">
                  <c:v>2.8726700599493332E-5</c:v>
                </c:pt>
                <c:pt idx="90">
                  <c:v>2.5937832346444504E-5</c:v>
                </c:pt>
                <c:pt idx="91">
                  <c:v>2.3417005837092582E-5</c:v>
                </c:pt>
                <c:pt idx="92">
                  <c:v>2.1138777521744888E-5</c:v>
                </c:pt>
                <c:pt idx="93">
                  <c:v>1.9080081280118117E-5</c:v>
                </c:pt>
                <c:pt idx="94">
                  <c:v>1.7220010813843125E-5</c:v>
                </c:pt>
                <c:pt idx="95">
                  <c:v>1.5539621402807169E-5</c:v>
                </c:pt>
                <c:pt idx="96">
                  <c:v>1.402174937125724E-5</c:v>
                </c:pt>
                <c:pt idx="97">
                  <c:v>1.265084774203579E-5</c:v>
                </c:pt>
                <c:pt idx="98">
                  <c:v>1.1412836680342256E-5</c:v>
                </c:pt>
                <c:pt idx="99">
                  <c:v>1.0294967442513509E-5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74-40C4-B388-58C8E00440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4289696"/>
        <c:axId val="524282480"/>
      </c:scatterChart>
      <c:valAx>
        <c:axId val="524289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282480"/>
        <c:crosses val="autoZero"/>
        <c:crossBetween val="midCat"/>
      </c:valAx>
      <c:valAx>
        <c:axId val="524282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Displacement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242896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White Circle Calculated Values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'White Circle'!$G$1:$G$3</c:f>
              <c:strCache>
                <c:ptCount val="3"/>
                <c:pt idx="0">
                  <c:v>Calculated Values</c:v>
                </c:pt>
                <c:pt idx="1">
                  <c:v>Front Fork</c:v>
                </c:pt>
                <c:pt idx="2">
                  <c:v>Underdamped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'White Circle'!$F$4:$F$103</c:f>
              <c:numCache>
                <c:formatCode>General</c:formatCode>
                <c:ptCount val="10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</c:numCache>
            </c:numRef>
          </c:xVal>
          <c:yVal>
            <c:numRef>
              <c:f>'White Circle'!$G$4:$G$103</c:f>
              <c:numCache>
                <c:formatCode>General</c:formatCode>
                <c:ptCount val="100"/>
                <c:pt idx="0">
                  <c:v>2.6529608433713573E-3</c:v>
                </c:pt>
                <c:pt idx="1">
                  <c:v>4.9725831564354245E-3</c:v>
                </c:pt>
                <c:pt idx="2">
                  <c:v>6.9127022309300552E-3</c:v>
                </c:pt>
                <c:pt idx="3">
                  <c:v>8.4440168744201669E-3</c:v>
                </c:pt>
                <c:pt idx="4">
                  <c:v>9.5535026876977305E-3</c:v>
                </c:pt>
                <c:pt idx="5">
                  <c:v>1.0243339386802355E-2</c:v>
                </c:pt>
                <c:pt idx="6">
                  <c:v>1.0529432701333021E-2</c:v>
                </c:pt>
                <c:pt idx="7">
                  <c:v>1.043961739025681E-2</c:v>
                </c:pt>
                <c:pt idx="8">
                  <c:v>1.0011630498141369E-2</c:v>
                </c:pt>
                <c:pt idx="9">
                  <c:v>9.2909433598934669E-3</c:v>
                </c:pt>
                <c:pt idx="10">
                  <c:v>8.3285373666345079E-3</c:v>
                </c:pt>
                <c:pt idx="11">
                  <c:v>7.1787025116319975E-3</c:v>
                </c:pt>
                <c:pt idx="12">
                  <c:v>5.8969296731443566E-3</c:v>
                </c:pt>
                <c:pt idx="13">
                  <c:v>4.5379579194305339E-3</c:v>
                </c:pt>
                <c:pt idx="14">
                  <c:v>3.1540273098298343E-3</c:v>
                </c:pt>
                <c:pt idx="15">
                  <c:v>1.7933761789233453E-3</c:v>
                </c:pt>
                <c:pt idx="16">
                  <c:v>4.990101720408188E-4</c:v>
                </c:pt>
                <c:pt idx="17">
                  <c:v>-6.9224123985969386E-4</c:v>
                </c:pt>
                <c:pt idx="18">
                  <c:v>-1.7503760331377878E-3</c:v>
                </c:pt>
                <c:pt idx="19">
                  <c:v>-2.6525840951319851E-3</c:v>
                </c:pt>
                <c:pt idx="20">
                  <c:v>-3.383339300665381E-3</c:v>
                </c:pt>
                <c:pt idx="21">
                  <c:v>-3.9342413302029889E-3</c:v>
                </c:pt>
                <c:pt idx="22">
                  <c:v>-4.3036356181699277E-3</c:v>
                </c:pt>
                <c:pt idx="23">
                  <c:v>-4.4960445587010622E-3</c:v>
                </c:pt>
                <c:pt idx="24">
                  <c:v>-4.5214462972656541E-3</c:v>
                </c:pt>
                <c:pt idx="25">
                  <c:v>-4.3944391361172494E-3</c:v>
                </c:pt>
                <c:pt idx="26">
                  <c:v>-4.1333298617978803E-3</c:v>
                </c:pt>
                <c:pt idx="27">
                  <c:v>-3.759183285895295E-3</c:v>
                </c:pt>
                <c:pt idx="28">
                  <c:v>-3.2948681296143781E-3</c:v>
                </c:pt>
                <c:pt idx="29">
                  <c:v>-2.7641312559244643E-3</c:v>
                </c:pt>
                <c:pt idx="30">
                  <c:v>-2.1907283531875611E-3</c:v>
                </c:pt>
                <c:pt idx="31">
                  <c:v>-1.5976347021651686E-3</c:v>
                </c:pt>
                <c:pt idx="32">
                  <c:v>-1.0063548154638218E-3</c:v>
                </c:pt>
                <c:pt idx="33">
                  <c:v>-4.3634471982474741E-4</c:v>
                </c:pt>
                <c:pt idx="34">
                  <c:v>9.5444359990702209E-5</c:v>
                </c:pt>
                <c:pt idx="35">
                  <c:v>5.7489699593899055E-4</c:v>
                </c:pt>
                <c:pt idx="36">
                  <c:v>9.9093983193007684E-4</c:v>
                </c:pt>
                <c:pt idx="37">
                  <c:v>1.3356278250467794E-3</c:v>
                </c:pt>
                <c:pt idx="38">
                  <c:v>1.60411868877312E-3</c:v>
                </c:pt>
                <c:pt idx="39">
                  <c:v>1.7945467231748713E-3</c:v>
                </c:pt>
                <c:pt idx="40">
                  <c:v>1.9078095220265504E-3</c:v>
                </c:pt>
                <c:pt idx="41">
                  <c:v>1.9472826910937218E-3</c:v>
                </c:pt>
                <c:pt idx="42">
                  <c:v>1.9184787016886587E-3</c:v>
                </c:pt>
                <c:pt idx="43">
                  <c:v>1.8286663668643634E-3</c:v>
                </c:pt>
                <c:pt idx="44">
                  <c:v>1.6864672100813929E-3</c:v>
                </c:pt>
                <c:pt idx="45">
                  <c:v>1.5014442587918506E-3</c:v>
                </c:pt>
                <c:pt idx="46">
                  <c:v>1.2836976106738681E-3</c:v>
                </c:pt>
                <c:pt idx="47">
                  <c:v>1.0434795688957074E-3</c:v>
                </c:pt>
                <c:pt idx="48">
                  <c:v>7.9084031017804786E-4</c:v>
                </c:pt>
                <c:pt idx="49">
                  <c:v>5.3531302238240457E-4</c:v>
                </c:pt>
                <c:pt idx="50">
                  <c:v>2.8564531213453654E-4</c:v>
                </c:pt>
                <c:pt idx="51">
                  <c:v>4.9581518586488779E-5</c:v>
                </c:pt>
                <c:pt idx="52">
                  <c:v>-1.6630154873065929E-4</c:v>
                </c:pt>
                <c:pt idx="53">
                  <c:v>-3.5670493588752232E-4</c:v>
                </c:pt>
                <c:pt idx="54">
                  <c:v>-5.1766525970440051E-4</c:v>
                </c:pt>
                <c:pt idx="55">
                  <c:v>-6.4656276093867562E-4</c:v>
                </c:pt>
                <c:pt idx="56">
                  <c:v>-7.4208401994216441E-4</c:v>
                </c:pt>
                <c:pt idx="57">
                  <c:v>-8.0414476407291477E-4</c:v>
                </c:pt>
                <c:pt idx="58">
                  <c:v>-8.3377901865573775E-4</c:v>
                </c:pt>
                <c:pt idx="59">
                  <c:v>-8.3300139225904837E-4</c:v>
                </c:pt>
                <c:pt idx="60">
                  <c:v>-8.0464955082001541E-4</c:v>
                </c:pt>
                <c:pt idx="61">
                  <c:v>-7.522139403972869E-4</c:v>
                </c:pt>
                <c:pt idx="62">
                  <c:v>-6.7966158878880138E-4</c:v>
                </c:pt>
                <c:pt idx="63">
                  <c:v>-5.9126038124792822E-4</c:v>
                </c:pt>
                <c:pt idx="64">
                  <c:v>-4.9140959849850591E-4</c:v>
                </c:pt>
                <c:pt idx="65">
                  <c:v>-3.8448176224040881E-4</c:v>
                </c:pt>
                <c:pt idx="66">
                  <c:v>-2.7467999158368214E-4</c:v>
                </c:pt>
                <c:pt idx="67">
                  <c:v>-1.6591417041751671E-4</c:v>
                </c:pt>
                <c:pt idx="68">
                  <c:v>-6.169829629668439E-5</c:v>
                </c:pt>
                <c:pt idx="69">
                  <c:v>3.4929540738071701E-5</c:v>
                </c:pt>
                <c:pt idx="70">
                  <c:v>1.2146398596342381E-4</c:v>
                </c:pt>
                <c:pt idx="71">
                  <c:v>1.9596631280847473E-4</c:v>
                </c:pt>
                <c:pt idx="72">
                  <c:v>2.5707637641553022E-4</c:v>
                </c:pt>
                <c:pt idx="73">
                  <c:v>3.0400425969256983E-4</c:v>
                </c:pt>
                <c:pt idx="74">
                  <c:v>3.3650376672846624E-4</c:v>
                </c:pt>
                <c:pt idx="75">
                  <c:v>3.54830321664242E-4</c:v>
                </c:pt>
                <c:pt idx="76">
                  <c:v>3.5968611215482716E-4</c:v>
                </c:pt>
                <c:pt idx="77">
                  <c:v>3.5215547738536387E-4</c:v>
                </c:pt>
                <c:pt idx="78">
                  <c:v>3.3363358700103497E-4</c:v>
                </c:pt>
                <c:pt idx="79">
                  <c:v>3.0575139831042771E-4</c:v>
                </c:pt>
                <c:pt idx="80">
                  <c:v>2.7029972643231165E-4</c:v>
                </c:pt>
                <c:pt idx="81">
                  <c:v>2.2915502940457877E-4</c:v>
                </c:pt>
                <c:pt idx="82">
                  <c:v>1.8420921277644659E-4</c:v>
                </c:pt>
                <c:pt idx="83">
                  <c:v>1.373054117300511E-4</c:v>
                </c:pt>
                <c:pt idx="84">
                  <c:v>9.0181329352626697E-5</c:v>
                </c:pt>
                <c:pt idx="85">
                  <c:v>4.4421312944731408E-5</c:v>
                </c:pt>
                <c:pt idx="86">
                  <c:v>1.417950970997278E-6</c:v>
                </c:pt>
                <c:pt idx="87">
                  <c:v>-3.76564150756431E-5</c:v>
                </c:pt>
                <c:pt idx="88">
                  <c:v>-7.1868235140940611E-5</c:v>
                </c:pt>
                <c:pt idx="89">
                  <c:v>-1.0053165532692385E-4</c:v>
                </c:pt>
                <c:pt idx="90">
                  <c:v>-1.2320837860871128E-4</c:v>
                </c:pt>
                <c:pt idx="91">
                  <c:v>-1.396993223740806E-4</c:v>
                </c:pt>
                <c:pt idx="92">
                  <c:v>-1.5002910811905679E-4</c:v>
                </c:pt>
                <c:pt idx="93">
                  <c:v>-1.5442456079713509E-4</c:v>
                </c:pt>
                <c:pt idx="94">
                  <c:v>-1.5328848526022183E-4</c:v>
                </c:pt>
                <c:pt idx="95">
                  <c:v>-1.4717002678959947E-4</c:v>
                </c:pt>
                <c:pt idx="96">
                  <c:v>-1.3673291524035188E-4</c:v>
                </c:pt>
                <c:pt idx="97">
                  <c:v>-1.2272284240962269E-4</c:v>
                </c:pt>
                <c:pt idx="98">
                  <c:v>-1.0593513546818023E-4</c:v>
                </c:pt>
                <c:pt idx="99">
                  <c:v>-8.7183771953654342E-5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A79-4929-A896-CF8C908064C7}"/>
            </c:ext>
          </c:extLst>
        </c:ser>
        <c:ser>
          <c:idx val="1"/>
          <c:order val="1"/>
          <c:tx>
            <c:strRef>
              <c:f>'White Circle'!$H$1:$H$3</c:f>
              <c:strCache>
                <c:ptCount val="3"/>
                <c:pt idx="0">
                  <c:v>Calculated Values</c:v>
                </c:pt>
                <c:pt idx="1">
                  <c:v>Rear Spring</c:v>
                </c:pt>
                <c:pt idx="2">
                  <c:v>Underdamped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'White Circle'!$F$4:$F$103</c:f>
              <c:numCache>
                <c:formatCode>General</c:formatCode>
                <c:ptCount val="10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</c:numCache>
            </c:numRef>
          </c:xVal>
          <c:yVal>
            <c:numRef>
              <c:f>'White Circle'!$H$4:$H$103</c:f>
              <c:numCache>
                <c:formatCode>General</c:formatCode>
                <c:ptCount val="100"/>
                <c:pt idx="0">
                  <c:v>2.5842403282759501E-3</c:v>
                </c:pt>
                <c:pt idx="1">
                  <c:v>4.7083667579037227E-3</c:v>
                </c:pt>
                <c:pt idx="2">
                  <c:v>6.3484213801378421E-3</c:v>
                </c:pt>
                <c:pt idx="3">
                  <c:v>7.5035633105263854E-3</c:v>
                </c:pt>
                <c:pt idx="4">
                  <c:v>8.1929343769499806E-3</c:v>
                </c:pt>
                <c:pt idx="5">
                  <c:v>8.4521357277595657E-3</c:v>
                </c:pt>
                <c:pt idx="6">
                  <c:v>8.329513050648777E-3</c:v>
                </c:pt>
                <c:pt idx="7">
                  <c:v>7.8824288359161995E-3</c:v>
                </c:pt>
                <c:pt idx="8">
                  <c:v>7.1736761898024293E-3</c:v>
                </c:pt>
                <c:pt idx="9">
                  <c:v>6.2681617252597494E-3</c:v>
                </c:pt>
                <c:pt idx="10">
                  <c:v>5.2299565522897773E-3</c:v>
                </c:pt>
                <c:pt idx="11">
                  <c:v>4.1197857350582208E-3</c:v>
                </c:pt>
                <c:pt idx="12">
                  <c:v>2.9929989729133299E-3</c:v>
                </c:pt>
                <c:pt idx="13">
                  <c:v>1.8980396851910931E-3</c:v>
                </c:pt>
                <c:pt idx="14">
                  <c:v>8.7540690456511911E-4</c:v>
                </c:pt>
                <c:pt idx="15">
                  <c:v>-4.2915040284273494E-5</c:v>
                </c:pt>
                <c:pt idx="16">
                  <c:v>-8.3359980828240333E-4</c:v>
                </c:pt>
                <c:pt idx="17">
                  <c:v>-1.481747960962475E-3</c:v>
                </c:pt>
                <c:pt idx="18">
                  <c:v>-1.980342293227222E-3</c:v>
                </c:pt>
                <c:pt idx="19">
                  <c:v>-2.3294548801458476E-3</c:v>
                </c:pt>
                <c:pt idx="20">
                  <c:v>-2.5352723615213991E-3</c:v>
                </c:pt>
                <c:pt idx="21">
                  <c:v>-2.6090043145170104E-3</c:v>
                </c:pt>
                <c:pt idx="22">
                  <c:v>-2.5657354653030448E-3</c:v>
                </c:pt>
                <c:pt idx="23">
                  <c:v>-2.4232764642365093E-3</c:v>
                </c:pt>
                <c:pt idx="24">
                  <c:v>-2.2010605065804936E-3</c:v>
                </c:pt>
                <c:pt idx="25">
                  <c:v>-1.9191247212483344E-3</c:v>
                </c:pt>
                <c:pt idx="26">
                  <c:v>-1.5972064417146556E-3</c:v>
                </c:pt>
                <c:pt idx="27">
                  <c:v>-1.2539756384835022E-3</c:v>
                </c:pt>
                <c:pt idx="28">
                  <c:v>-9.0641629693279894E-4</c:v>
                </c:pt>
                <c:pt idx="29">
                  <c:v>-5.693616695447726E-4</c:v>
                </c:pt>
                <c:pt idx="30">
                  <c:v>-2.5518135147234059E-4</c:v>
                </c:pt>
                <c:pt idx="31">
                  <c:v>2.63878108432538E-5</c:v>
                </c:pt>
                <c:pt idx="32">
                  <c:v>2.6827976603139848E-4</c:v>
                </c:pt>
                <c:pt idx="33">
                  <c:v>4.6602266330783457E-4</c:v>
                </c:pt>
                <c:pt idx="34">
                  <c:v>6.1756646969713443E-4</c:v>
                </c:pt>
                <c:pt idx="35">
                  <c:v>7.2303499186036099E-4</c:v>
                </c:pt>
                <c:pt idx="36">
                  <c:v>7.8442282471960761E-4</c:v>
                </c:pt>
                <c:pt idx="37">
                  <c:v>8.0525719240804022E-4</c:v>
                </c:pt>
                <c:pt idx="38">
                  <c:v>7.9024334870410307E-4</c:v>
                </c:pt>
                <c:pt idx="39">
                  <c:v>7.4491031889691972E-4</c:v>
                </c:pt>
                <c:pt idx="40">
                  <c:v>6.7527145065722808E-4</c:v>
                </c:pt>
                <c:pt idx="41">
                  <c:v>5.8751165160422455E-4</c:v>
                </c:pt>
                <c:pt idx="42">
                  <c:v>4.8771046973979251E-4</c:v>
                </c:pt>
                <c:pt idx="43">
                  <c:v>3.8160744931542179E-4</c:v>
                </c:pt>
                <c:pt idx="44">
                  <c:v>2.7441358087919743E-4</c:v>
                </c:pt>
                <c:pt idx="45">
                  <c:v>1.7067025226257307E-4</c:v>
                </c:pt>
                <c:pt idx="46">
                  <c:v>7.4154968265307229E-5</c:v>
                </c:pt>
                <c:pt idx="47">
                  <c:v>-1.2168709000111868E-5</c:v>
                </c:pt>
                <c:pt idx="48">
                  <c:v>-8.6161009643953188E-5</c:v>
                </c:pt>
                <c:pt idx="49">
                  <c:v>-1.4648070366603638E-4</c:v>
                </c:pt>
                <c:pt idx="50">
                  <c:v>-1.9253059295730685E-4</c:v>
                </c:pt>
                <c:pt idx="51">
                  <c:v>-2.2437999111119827E-4</c:v>
                </c:pt>
                <c:pt idx="52">
                  <c:v>-2.4267052153272803E-4</c:v>
                </c:pt>
                <c:pt idx="53">
                  <c:v>-2.4851138005134703E-4</c:v>
                </c:pt>
                <c:pt idx="54">
                  <c:v>-2.4336979740472686E-4</c:v>
                </c:pt>
                <c:pt idx="55">
                  <c:v>-2.2896184745269837E-4</c:v>
                </c:pt>
                <c:pt idx="56">
                  <c:v>-2.0714802744741117E-4</c:v>
                </c:pt>
                <c:pt idx="57">
                  <c:v>-1.7983723443073369E-4</c:v>
                </c:pt>
                <c:pt idx="58">
                  <c:v>-1.4890192106141814E-4</c:v>
                </c:pt>
                <c:pt idx="59">
                  <c:v>-1.1610637461911476E-4</c:v>
                </c:pt>
                <c:pt idx="60">
                  <c:v>-8.3049258821247323E-5</c:v>
                </c:pt>
                <c:pt idx="61">
                  <c:v>-5.1120817508896819E-5</c:v>
                </c:pt>
                <c:pt idx="62">
                  <c:v>-2.1474483843088612E-5</c:v>
                </c:pt>
                <c:pt idx="63">
                  <c:v>4.9879164176320101E-6</c:v>
                </c:pt>
                <c:pt idx="64">
                  <c:v>2.761862472652336E-5</c:v>
                </c:pt>
                <c:pt idx="65">
                  <c:v>4.6015662944795189E-5</c:v>
                </c:pt>
                <c:pt idx="66">
                  <c:v>6.000561253579048E-5</c:v>
                </c:pt>
                <c:pt idx="67">
                  <c:v>6.9619389941539642E-5</c:v>
                </c:pt>
                <c:pt idx="68">
                  <c:v>7.5062970700912277E-5</c:v>
                </c:pt>
                <c:pt idx="69">
                  <c:v>7.6684954177750958E-5</c:v>
                </c:pt>
                <c:pt idx="70">
                  <c:v>7.4942730883650749E-5</c:v>
                </c:pt>
                <c:pt idx="71">
                  <c:v>7.0368830109511838E-5</c:v>
                </c:pt>
                <c:pt idx="72">
                  <c:v>6.3538801927508394E-5</c:v>
                </c:pt>
                <c:pt idx="73">
                  <c:v>5.5041739152267527E-5</c:v>
                </c:pt>
                <c:pt idx="74">
                  <c:v>4.5454285139304748E-5</c:v>
                </c:pt>
                <c:pt idx="75">
                  <c:v>3.5318714531223973E-5</c:v>
                </c:pt>
                <c:pt idx="76">
                  <c:v>2.5125426710565131E-5</c:v>
                </c:pt>
                <c:pt idx="77">
                  <c:v>1.529996435194195E-5</c:v>
                </c:pt>
                <c:pt idx="78">
                  <c:v>6.194468661215787E-6</c:v>
                </c:pt>
                <c:pt idx="79">
                  <c:v>-1.9166867677803924E-6</c:v>
                </c:pt>
                <c:pt idx="80">
                  <c:v>-8.8374773765155303E-6</c:v>
                </c:pt>
                <c:pt idx="81">
                  <c:v>-1.4447519313581506E-5</c:v>
                </c:pt>
                <c:pt idx="82">
                  <c:v>-1.869663326085781E-5</c:v>
                </c:pt>
                <c:pt idx="83">
                  <c:v>-2.1597277059705372E-5</c:v>
                </c:pt>
                <c:pt idx="84">
                  <c:v>-2.3215449315512125E-5</c:v>
                </c:pt>
                <c:pt idx="85">
                  <c:v>-2.3660646261203803E-5</c:v>
                </c:pt>
                <c:pt idx="86">
                  <c:v>-2.3075413133376764E-5</c:v>
                </c:pt>
                <c:pt idx="87">
                  <c:v>-2.1624973735711324E-5</c:v>
                </c:pt>
                <c:pt idx="88">
                  <c:v>-1.9487352361239079E-5</c:v>
                </c:pt>
                <c:pt idx="89">
                  <c:v>-1.6844325299981603E-5</c:v>
                </c:pt>
                <c:pt idx="90">
                  <c:v>-1.3873458944085998E-5</c:v>
                </c:pt>
                <c:pt idx="91">
                  <c:v>-1.0741411753481901E-5</c:v>
                </c:pt>
                <c:pt idx="92">
                  <c:v>-7.5986012649056738E-6</c:v>
                </c:pt>
                <c:pt idx="93">
                  <c:v>-4.5752675300640397E-6</c:v>
                </c:pt>
                <c:pt idx="94">
                  <c:v>-1.7789028531468326E-6</c:v>
                </c:pt>
                <c:pt idx="95">
                  <c:v>7.0703415096533557E-7</c:v>
                </c:pt>
                <c:pt idx="96">
                  <c:v>2.8232435393811339E-6</c:v>
                </c:pt>
                <c:pt idx="97">
                  <c:v>4.5337020824412059E-6</c:v>
                </c:pt>
                <c:pt idx="98">
                  <c:v>5.8239485248259949E-6</c:v>
                </c:pt>
                <c:pt idx="99">
                  <c:v>6.6987204746754574E-6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A79-4929-A896-CF8C908064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522472"/>
        <c:axId val="1004178904"/>
      </c:scatterChart>
      <c:valAx>
        <c:axId val="675522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04178904"/>
        <c:crosses val="autoZero"/>
        <c:crossBetween val="midCat"/>
      </c:valAx>
      <c:valAx>
        <c:axId val="1004178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Shock Displacement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55224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Green Circle Calculated Values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'Green Circle'!$G$1:$G$3</c:f>
              <c:strCache>
                <c:ptCount val="3"/>
                <c:pt idx="0">
                  <c:v>Calculated Values</c:v>
                </c:pt>
                <c:pt idx="1">
                  <c:v>Front Fork</c:v>
                </c:pt>
                <c:pt idx="2">
                  <c:v>Underdamped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'Green Circle'!$F$4:$F$103</c:f>
              <c:numCache>
                <c:formatCode>General</c:formatCode>
                <c:ptCount val="10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</c:numCache>
            </c:numRef>
          </c:xVal>
          <c:yVal>
            <c:numRef>
              <c:f>'Green Circle'!$G$4:$G$103</c:f>
              <c:numCache>
                <c:formatCode>General</c:formatCode>
                <c:ptCount val="100"/>
                <c:pt idx="0">
                  <c:v>3.2865115752416557E-3</c:v>
                </c:pt>
                <c:pt idx="1">
                  <c:v>6.1573439078681487E-3</c:v>
                </c:pt>
                <c:pt idx="2">
                  <c:v>8.631167757352818E-3</c:v>
                </c:pt>
                <c:pt idx="3">
                  <c:v>1.0728580653809657E-2</c:v>
                </c:pt>
                <c:pt idx="4">
                  <c:v>1.2471670586881978E-2</c:v>
                </c:pt>
                <c:pt idx="5">
                  <c:v>1.3883615002359229E-2</c:v>
                </c:pt>
                <c:pt idx="6">
                  <c:v>1.4988315141886128E-2</c:v>
                </c:pt>
                <c:pt idx="7">
                  <c:v>1.581006539241181E-2</c:v>
                </c:pt>
                <c:pt idx="8">
                  <c:v>1.6373256989580452E-2</c:v>
                </c:pt>
                <c:pt idx="9">
                  <c:v>1.6702115141041085E-2</c:v>
                </c:pt>
                <c:pt idx="10">
                  <c:v>1.682046839938545E-2</c:v>
                </c:pt>
                <c:pt idx="11">
                  <c:v>1.6751548917673095E-2</c:v>
                </c:pt>
                <c:pt idx="12">
                  <c:v>1.6517822060711094E-2</c:v>
                </c:pt>
                <c:pt idx="13">
                  <c:v>1.6140843719777517E-2</c:v>
                </c:pt>
                <c:pt idx="14">
                  <c:v>1.5641143584620786E-2</c:v>
                </c:pt>
                <c:pt idx="15">
                  <c:v>1.5038132561627329E-2</c:v>
                </c:pt>
                <c:pt idx="16">
                  <c:v>1.4350032488337414E-2</c:v>
                </c:pt>
                <c:pt idx="17">
                  <c:v>1.3593826279356784E-2</c:v>
                </c:pt>
                <c:pt idx="18">
                  <c:v>1.2785226644576722E-2</c:v>
                </c:pt>
                <c:pt idx="19">
                  <c:v>1.1938661544977669E-2</c:v>
                </c:pt>
                <c:pt idx="20">
                  <c:v>1.1067274591751355E-2</c:v>
                </c:pt>
                <c:pt idx="21">
                  <c:v>1.0182938648746608E-2</c:v>
                </c:pt>
                <c:pt idx="22">
                  <c:v>9.2962809641598376E-3</c:v>
                </c:pt>
                <c:pt idx="23">
                  <c:v>8.4167182329206482E-3</c:v>
                </c:pt>
                <c:pt idx="24">
                  <c:v>7.5525000744693137E-3</c:v>
                </c:pt>
                <c:pt idx="25">
                  <c:v>6.7107594998314594E-3</c:v>
                </c:pt>
                <c:pt idx="26">
                  <c:v>5.8975690354528361E-3</c:v>
                </c:pt>
                <c:pt idx="27">
                  <c:v>5.1180012676935371E-3</c:v>
                </c:pt>
                <c:pt idx="28">
                  <c:v>4.376192669866834E-3</c:v>
                </c:pt>
                <c:pt idx="29">
                  <c:v>3.6754096720523167E-3</c:v>
                </c:pt>
                <c:pt idx="30">
                  <c:v>3.0181160315600813E-3</c:v>
                </c:pt>
                <c:pt idx="31">
                  <c:v>2.4060406579456024E-3</c:v>
                </c:pt>
                <c:pt idx="32">
                  <c:v>1.8402451400723696E-3</c:v>
                </c:pt>
                <c:pt idx="33">
                  <c:v>1.3211903132067889E-3</c:v>
                </c:pt>
                <c:pt idx="34">
                  <c:v>8.4880129093569811E-4</c:v>
                </c:pt>
                <c:pt idx="35">
                  <c:v>4.2253046935278988E-4</c:v>
                </c:pt>
                <c:pt idx="36">
                  <c:v>4.141808909593762E-5</c:v>
                </c:pt>
                <c:pt idx="37">
                  <c:v>-2.9584998584824185E-4</c:v>
                </c:pt>
                <c:pt idx="38">
                  <c:v>-5.9088754532199883E-4</c:v>
                </c:pt>
                <c:pt idx="39">
                  <c:v>-8.4555657569567746E-4</c:v>
                </c:pt>
                <c:pt idx="40">
                  <c:v>-1.0619192195990038E-3</c:v>
                </c:pt>
                <c:pt idx="41">
                  <c:v>-1.2421932513438699E-3</c:v>
                </c:pt>
                <c:pt idx="42">
                  <c:v>-1.3887111189685331E-3</c:v>
                </c:pt>
                <c:pt idx="43">
                  <c:v>-1.5038825611227399E-3</c:v>
                </c:pt>
                <c:pt idx="44">
                  <c:v>-1.5901607691794677E-3</c:v>
                </c:pt>
                <c:pt idx="45">
                  <c:v>-1.6500120318256452E-3</c:v>
                </c:pt>
                <c:pt idx="46">
                  <c:v>-1.6858887707470226E-3</c:v>
                </c:pt>
                <c:pt idx="47">
                  <c:v>-1.7002058516546602E-3</c:v>
                </c:pt>
                <c:pt idx="48">
                  <c:v>-1.695320034557435E-3</c:v>
                </c:pt>
                <c:pt idx="49">
                  <c:v>-1.6735124106092038E-3</c:v>
                </c:pt>
                <c:pt idx="50">
                  <c:v>-1.6369736597838093E-3</c:v>
                </c:pt>
                <c:pt idx="51">
                  <c:v>-1.5877919537846564E-3</c:v>
                </c:pt>
                <c:pt idx="52">
                  <c:v>-1.527943321704217E-3</c:v>
                </c:pt>
                <c:pt idx="53">
                  <c:v>-1.4592842917406491E-3</c:v>
                </c:pt>
                <c:pt idx="54">
                  <c:v>-1.3835466204853387E-3</c:v>
                </c:pt>
                <c:pt idx="55">
                  <c:v>-1.3023339216545551E-3</c:v>
                </c:pt>
                <c:pt idx="56">
                  <c:v>-1.2171200083968367E-3</c:v>
                </c:pt>
                <c:pt idx="57">
                  <c:v>-1.1292487672212928E-3</c:v>
                </c:pt>
                <c:pt idx="58">
                  <c:v>-1.0399353869279999E-3</c:v>
                </c:pt>
                <c:pt idx="59">
                  <c:v>-9.5026877245989942E-4</c:v>
                </c:pt>
                <c:pt idx="60">
                  <c:v>-8.6121498112890589E-4</c:v>
                </c:pt>
                <c:pt idx="61">
                  <c:v>-7.736215270040147E-4</c:v>
                </c:pt>
                <c:pt idx="62">
                  <c:v>-6.8822240820695082E-4</c:v>
                </c:pt>
                <c:pt idx="63">
                  <c:v>-6.0564372127653871E-4</c:v>
                </c:pt>
                <c:pt idx="64">
                  <c:v>-5.2640973648622458E-4</c:v>
                </c:pt>
                <c:pt idx="65">
                  <c:v>-4.5094931789397684E-4</c:v>
                </c:pt>
                <c:pt idx="66">
                  <c:v>-3.7960258184812148E-4</c:v>
                </c:pt>
                <c:pt idx="67">
                  <c:v>-3.1262769755819946E-4</c:v>
                </c:pt>
                <c:pt idx="68">
                  <c:v>-2.5020774307153368E-4</c:v>
                </c:pt>
                <c:pt idx="69">
                  <c:v>-1.9245753949130256E-4</c:v>
                </c:pt>
                <c:pt idx="70">
                  <c:v>-1.3943039546010632E-4</c:v>
                </c:pt>
                <c:pt idx="71">
                  <c:v>-9.1124702755094789E-5</c:v>
                </c:pt>
                <c:pt idx="72">
                  <c:v>-4.7490332248287599E-5</c:v>
                </c:pt>
                <c:pt idx="73">
                  <c:v>-8.4347874400806455E-6</c:v>
                </c:pt>
                <c:pt idx="74">
                  <c:v>2.6170919754212555E-5</c:v>
                </c:pt>
                <c:pt idx="75">
                  <c:v>5.6486699316695786E-5</c:v>
                </c:pt>
                <c:pt idx="76">
                  <c:v>8.26981414387512E-5</c:v>
                </c:pt>
                <c:pt idx="77">
                  <c:v>1.0501161880526651E-4</c:v>
                </c:pt>
                <c:pt idx="78">
                  <c:v>1.2364974342009226E-4</c:v>
                </c:pt>
                <c:pt idx="79">
                  <c:v>1.3884718365633536E-4</c:v>
                </c:pt>
                <c:pt idx="80">
                  <c:v>1.5084684283868448E-4</c:v>
                </c:pt>
                <c:pt idx="81">
                  <c:v>1.5989639678345627E-4</c:v>
                </c:pt>
                <c:pt idx="82">
                  <c:v>1.6624518431799658E-4</c:v>
                </c:pt>
                <c:pt idx="83">
                  <c:v>1.7014144185410982E-4</c:v>
                </c:pt>
                <c:pt idx="84">
                  <c:v>1.7182987057764347E-4</c:v>
                </c:pt>
                <c:pt idx="85">
                  <c:v>1.7154952271367433E-4</c:v>
                </c:pt>
                <c:pt idx="86">
                  <c:v>1.6953199160799437E-4</c:v>
                </c:pt>
                <c:pt idx="87">
                  <c:v>1.6599988900393496E-4</c:v>
                </c:pt>
                <c:pt idx="88">
                  <c:v>1.6116559186154749E-4</c:v>
                </c:pt>
                <c:pt idx="89">
                  <c:v>1.552302403361239E-4</c:v>
                </c:pt>
                <c:pt idx="90">
                  <c:v>1.4838296807747299E-4</c:v>
                </c:pt>
                <c:pt idx="91">
                  <c:v>1.408003458030449E-4</c:v>
                </c:pt>
                <c:pt idx="92">
                  <c:v>1.3264601911038159E-4</c:v>
                </c:pt>
                <c:pt idx="93">
                  <c:v>1.2407052170167396E-4</c:v>
                </c:pt>
                <c:pt idx="94">
                  <c:v>1.1521124557065386E-4</c:v>
                </c:pt>
                <c:pt idx="95">
                  <c:v>1.0619255022599214E-4</c:v>
                </c:pt>
                <c:pt idx="96">
                  <c:v>9.7125993673369325E-5</c:v>
                </c:pt>
                <c:pt idx="97">
                  <c:v>8.8110668629360234E-5</c:v>
                </c:pt>
                <c:pt idx="98">
                  <c:v>7.9233628274499813E-5</c:v>
                </c:pt>
                <c:pt idx="99">
                  <c:v>7.0570386752110979E-5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B62-4F3F-936D-E50C965CE4DB}"/>
            </c:ext>
          </c:extLst>
        </c:ser>
        <c:ser>
          <c:idx val="1"/>
          <c:order val="1"/>
          <c:tx>
            <c:strRef>
              <c:f>'Green Circle'!$H$1:$H$3</c:f>
              <c:strCache>
                <c:ptCount val="3"/>
                <c:pt idx="0">
                  <c:v>Calculated Values</c:v>
                </c:pt>
                <c:pt idx="1">
                  <c:v>Rear Spring</c:v>
                </c:pt>
                <c:pt idx="2">
                  <c:v>Underdamped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'Green Circle'!$F$4:$F$103</c:f>
              <c:numCache>
                <c:formatCode>General</c:formatCode>
                <c:ptCount val="10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</c:numCache>
            </c:numRef>
          </c:xVal>
          <c:yVal>
            <c:numRef>
              <c:f>'Green Circle'!$H$4:$H$103</c:f>
              <c:numCache>
                <c:formatCode>General</c:formatCode>
                <c:ptCount val="100"/>
                <c:pt idx="0">
                  <c:v>3.211326205819918E-3</c:v>
                </c:pt>
                <c:pt idx="1">
                  <c:v>5.8521772124951041E-3</c:v>
                </c:pt>
                <c:pt idx="2">
                  <c:v>7.9425586354187686E-3</c:v>
                </c:pt>
                <c:pt idx="3">
                  <c:v>9.5133711635507611E-3</c:v>
                </c:pt>
                <c:pt idx="4">
                  <c:v>1.0603968405764729E-2</c:v>
                </c:pt>
                <c:pt idx="5">
                  <c:v>1.1259872623088073E-2</c:v>
                </c:pt>
                <c:pt idx="6">
                  <c:v>1.153068215397615E-2</c:v>
                </c:pt>
                <c:pt idx="7">
                  <c:v>1.1468194335175741E-2</c:v>
                </c:pt>
                <c:pt idx="8">
                  <c:v>1.1124758637143285E-2</c:v>
                </c:pt>
                <c:pt idx="9">
                  <c:v>1.055186666017535E-2</c:v>
                </c:pt>
                <c:pt idx="10">
                  <c:v>9.7989786258921383E-3</c:v>
                </c:pt>
                <c:pt idx="11">
                  <c:v>8.9125800644229859E-3</c:v>
                </c:pt>
                <c:pt idx="12">
                  <c:v>7.9354575268010038E-3</c:v>
                </c:pt>
                <c:pt idx="13">
                  <c:v>6.9061783060685557E-3</c:v>
                </c:pt>
                <c:pt idx="14">
                  <c:v>5.8587562707381677E-3</c:v>
                </c:pt>
                <c:pt idx="15">
                  <c:v>4.8224839263249168E-3</c:v>
                </c:pt>
                <c:pt idx="16">
                  <c:v>3.821909639160861E-3</c:v>
                </c:pt>
                <c:pt idx="17">
                  <c:v>2.8769384887127095E-3</c:v>
                </c:pt>
                <c:pt idx="18">
                  <c:v>2.0030353633238404E-3</c:v>
                </c:pt>
                <c:pt idx="19">
                  <c:v>1.2115095819922857E-3</c:v>
                </c:pt>
                <c:pt idx="20">
                  <c:v>5.0986141551513219E-4</c:v>
                </c:pt>
                <c:pt idx="21">
                  <c:v>-9.7827697982726491E-5</c:v>
                </c:pt>
                <c:pt idx="22">
                  <c:v>-6.1047778188222271E-4</c:v>
                </c:pt>
                <c:pt idx="23">
                  <c:v>-1.0295805016806386E-3</c:v>
                </c:pt>
                <c:pt idx="24">
                  <c:v>-1.3587696798953144E-3</c:v>
                </c:pt>
                <c:pt idx="25">
                  <c:v>-1.6034029723179812E-3</c:v>
                </c:pt>
                <c:pt idx="26">
                  <c:v>-1.7701636008404923E-3</c:v>
                </c:pt>
                <c:pt idx="27">
                  <c:v>-1.8666891751894248E-3</c:v>
                </c:pt>
                <c:pt idx="28">
                  <c:v>-1.9012328786575116E-3</c:v>
                </c:pt>
                <c:pt idx="29">
                  <c:v>-1.8823606697217922E-3</c:v>
                </c:pt>
                <c:pt idx="30">
                  <c:v>-1.8186866829857445E-3</c:v>
                </c:pt>
                <c:pt idx="31">
                  <c:v>-1.718647712798024E-3</c:v>
                </c:pt>
                <c:pt idx="32">
                  <c:v>-1.5903165384670455E-3</c:v>
                </c:pt>
                <c:pt idx="33">
                  <c:v>-1.4412529029333558E-3</c:v>
                </c:pt>
                <c:pt idx="34">
                  <c:v>-1.2783901840503697E-3</c:v>
                </c:pt>
                <c:pt idx="35">
                  <c:v>-1.107955192273768E-3</c:v>
                </c:pt>
                <c:pt idx="36">
                  <c:v>-9.3541808041127902E-4</c:v>
                </c:pt>
                <c:pt idx="37">
                  <c:v>-7.6546904754367176E-4</c:v>
                </c:pt>
                <c:pt idx="38">
                  <c:v>-6.0201834595671017E-4</c:v>
                </c:pt>
                <c:pt idx="39">
                  <c:v>-4.4821604146866935E-4</c:v>
                </c:pt>
                <c:pt idx="40">
                  <c:v>-3.0648801789108921E-4</c:v>
                </c:pt>
                <c:pt idx="41">
                  <c:v>-1.7858483944944059E-4</c:v>
                </c:pt>
                <c:pt idx="42">
                  <c:v>-6.5640275095732667E-5</c:v>
                </c:pt>
                <c:pt idx="43">
                  <c:v>3.1763469256044952E-5</c:v>
                </c:pt>
                <c:pt idx="44">
                  <c:v>1.1352648449951846E-4</c:v>
                </c:pt>
                <c:pt idx="45">
                  <c:v>1.7996022692717993E-4</c:v>
                </c:pt>
                <c:pt idx="46">
                  <c:v>2.317169718249053E-4</c:v>
                </c:pt>
                <c:pt idx="47">
                  <c:v>2.6972138022291831E-4</c:v>
                </c:pt>
                <c:pt idx="48">
                  <c:v>2.9510559020773646E-4</c:v>
                </c:pt>
                <c:pt idx="49">
                  <c:v>3.0914893994911884E-4</c:v>
                </c:pt>
                <c:pt idx="50">
                  <c:v>3.1322314364606635E-4</c:v>
                </c:pt>
                <c:pt idx="51">
                  <c:v>3.0874347840150227E-4</c:v>
                </c:pt>
                <c:pt idx="52">
                  <c:v>2.9712630279654813E-4</c:v>
                </c:pt>
                <c:pt idx="53">
                  <c:v>2.7975301870756207E-4</c:v>
                </c:pt>
                <c:pt idx="54">
                  <c:v>2.5794040772508261E-4</c:v>
                </c:pt>
                <c:pt idx="55">
                  <c:v>2.3291712253341006E-4</c:v>
                </c:pt>
                <c:pt idx="56">
                  <c:v>2.058059911720787E-4</c:v>
                </c:pt>
                <c:pt idx="57">
                  <c:v>1.7761169697644966E-4</c:v>
                </c:pt>
                <c:pt idx="58">
                  <c:v>1.4921332743305635E-4</c:v>
                </c:pt>
                <c:pt idx="59">
                  <c:v>1.21361239054436E-4</c:v>
                </c:pt>
                <c:pt idx="60">
                  <c:v>9.467766027750406E-5</c:v>
                </c:pt>
                <c:pt idx="61">
                  <c:v>6.9660447751547462E-5</c:v>
                </c:pt>
                <c:pt idx="62">
                  <c:v>4.6689420562586885E-5</c:v>
                </c:pt>
                <c:pt idx="63">
                  <c:v>2.6034719298216843E-5</c:v>
                </c:pt>
                <c:pt idx="64">
                  <c:v>7.8666698177687693E-6</c:v>
                </c:pt>
                <c:pt idx="65">
                  <c:v>-7.7333272931417501E-6</c:v>
                </c:pt>
                <c:pt idx="66">
                  <c:v>-2.0761313620166851E-5</c:v>
                </c:pt>
                <c:pt idx="67">
                  <c:v>-3.1279077435833201E-5</c:v>
                </c:pt>
                <c:pt idx="68">
                  <c:v>-3.9402574405156916E-5</c:v>
                </c:pt>
                <c:pt idx="69">
                  <c:v>-4.5290740063334625E-5</c:v>
                </c:pt>
                <c:pt idx="70">
                  <c:v>-4.9134917749023269E-5</c:v>
                </c:pt>
                <c:pt idx="71">
                  <c:v>-5.1149076017739142E-5</c:v>
                </c:pt>
                <c:pt idx="72">
                  <c:v>-5.1560943057138668E-5</c:v>
                </c:pt>
                <c:pt idx="73">
                  <c:v>-5.0604142976461608E-5</c:v>
                </c:pt>
                <c:pt idx="74">
                  <c:v>-4.8511380539528115E-5</c:v>
                </c:pt>
                <c:pt idx="75">
                  <c:v>-4.5508687262457893E-5</c:v>
                </c:pt>
                <c:pt idx="76">
                  <c:v>-4.1810712946979124E-5</c:v>
                </c:pt>
                <c:pt idx="77">
                  <c:v>-3.7617022667731362E-5</c:v>
                </c:pt>
                <c:pt idx="78">
                  <c:v>-3.3109339855748413E-5</c:v>
                </c:pt>
                <c:pt idx="79">
                  <c:v>-2.8449661198825341E-5</c:v>
                </c:pt>
                <c:pt idx="80">
                  <c:v>-2.3779158312125491E-5</c:v>
                </c:pt>
                <c:pt idx="81">
                  <c:v>-1.9217774159138802E-5</c:v>
                </c:pt>
                <c:pt idx="82">
                  <c:v>-1.4864418622677717E-5</c:v>
                </c:pt>
                <c:pt idx="83">
                  <c:v>-1.0797667011888761E-5</c:v>
                </c:pt>
                <c:pt idx="84">
                  <c:v>-7.0768672079309054E-6</c:v>
                </c:pt>
                <c:pt idx="85">
                  <c:v>-3.7435651640638971E-6</c:v>
                </c:pt>
                <c:pt idx="86">
                  <c:v>-8.231641644338897E-7</c:v>
                </c:pt>
                <c:pt idx="87">
                  <c:v>1.6732597894379422E-6</c:v>
                </c:pt>
                <c:pt idx="88">
                  <c:v>3.7470562253474021E-6</c:v>
                </c:pt>
                <c:pt idx="89">
                  <c:v>5.4100734029041161E-6</c:v>
                </c:pt>
                <c:pt idx="90">
                  <c:v>6.6827590883110343E-6</c:v>
                </c:pt>
                <c:pt idx="91">
                  <c:v>7.5923328051812045E-6</c:v>
                </c:pt>
                <c:pt idx="92">
                  <c:v>8.1710649675263895E-6</c:v>
                </c:pt>
                <c:pt idx="93">
                  <c:v>8.4546902009978384E-6</c:v>
                </c:pt>
                <c:pt idx="94">
                  <c:v>8.4809746005713228E-6</c:v>
                </c:pt>
                <c:pt idx="95">
                  <c:v>8.2884497659935689E-6</c:v>
                </c:pt>
                <c:pt idx="96">
                  <c:v>7.9153202762206103E-6</c:v>
                </c:pt>
                <c:pt idx="97">
                  <c:v>7.3985458566075419E-6</c:v>
                </c:pt>
                <c:pt idx="98">
                  <c:v>6.7730948770318683E-6</c:v>
                </c:pt>
                <c:pt idx="99">
                  <c:v>6.0713619917328833E-6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62-4F3F-936D-E50C965CE4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658400"/>
        <c:axId val="754654792"/>
      </c:scatterChart>
      <c:valAx>
        <c:axId val="754658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654792"/>
        <c:crosses val="autoZero"/>
        <c:crossBetween val="midCat"/>
      </c:valAx>
      <c:valAx>
        <c:axId val="754654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Shock Displacement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46584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Blue Square Calculated Values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'Blue Square'!$G$1:$G$3</c:f>
              <c:strCache>
                <c:ptCount val="3"/>
                <c:pt idx="0">
                  <c:v>Calculated Values</c:v>
                </c:pt>
                <c:pt idx="1">
                  <c:v>Front Fork</c:v>
                </c:pt>
                <c:pt idx="2">
                  <c:v>Underdamped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'Blue Square'!$F$4:$F$103</c:f>
              <c:numCache>
                <c:formatCode>General</c:formatCode>
                <c:ptCount val="10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</c:numCache>
            </c:numRef>
          </c:xVal>
          <c:yVal>
            <c:numRef>
              <c:f>'Blue Square'!$G$4:$G$103</c:f>
              <c:numCache>
                <c:formatCode>General</c:formatCode>
                <c:ptCount val="100"/>
                <c:pt idx="0">
                  <c:v>5.5347385114184926E-3</c:v>
                </c:pt>
                <c:pt idx="1">
                  <c:v>1.0189317549705316E-2</c:v>
                </c:pt>
                <c:pt idx="2">
                  <c:v>1.4038571168063081E-2</c:v>
                </c:pt>
                <c:pt idx="3">
                  <c:v>1.7155790703959516E-2</c:v>
                </c:pt>
                <c:pt idx="4">
                  <c:v>1.9612089459880952E-2</c:v>
                </c:pt>
                <c:pt idx="5">
                  <c:v>2.1475886570179323E-2</c:v>
                </c:pt>
                <c:pt idx="6">
                  <c:v>2.2812498576946606E-2</c:v>
                </c:pt>
                <c:pt idx="7">
                  <c:v>2.3683827660401283E-2</c:v>
                </c:pt>
                <c:pt idx="8">
                  <c:v>2.4148135959688649E-2</c:v>
                </c:pt>
                <c:pt idx="9">
                  <c:v>2.4259895962515411E-2</c:v>
                </c:pt>
                <c:pt idx="10">
                  <c:v>2.4069707522602447E-2</c:v>
                </c:pt>
                <c:pt idx="11">
                  <c:v>2.3624272670113251E-2</c:v>
                </c:pt>
                <c:pt idx="12">
                  <c:v>2.2966420001094973E-2</c:v>
                </c:pt>
                <c:pt idx="13">
                  <c:v>2.2135171058081923E-2</c:v>
                </c:pt>
                <c:pt idx="14">
                  <c:v>2.1165841737218836E-2</c:v>
                </c:pt>
                <c:pt idx="15">
                  <c:v>2.0090172370657831E-2</c:v>
                </c:pt>
                <c:pt idx="16">
                  <c:v>1.8936480730794052E-2</c:v>
                </c:pt>
                <c:pt idx="17">
                  <c:v>1.7729832780391523E-2</c:v>
                </c:pt>
                <c:pt idx="18">
                  <c:v>1.6492226546008657E-2</c:v>
                </c:pt>
                <c:pt idx="19">
                  <c:v>1.5242785018404745E-2</c:v>
                </c:pt>
                <c:pt idx="20">
                  <c:v>1.3997954480588425E-2</c:v>
                </c:pt>
                <c:pt idx="21">
                  <c:v>1.2771705130323011E-2</c:v>
                </c:pt>
                <c:pt idx="22">
                  <c:v>1.1575731298284301E-2</c:v>
                </c:pt>
                <c:pt idx="23">
                  <c:v>1.0419648965241458E-2</c:v>
                </c:pt>
                <c:pt idx="24">
                  <c:v>9.3111886516106072E-3</c:v>
                </c:pt>
                <c:pt idx="25">
                  <c:v>8.2563820909005037E-3</c:v>
                </c:pt>
                <c:pt idx="26">
                  <c:v>7.2597414056353093E-3</c:v>
                </c:pt>
                <c:pt idx="27">
                  <c:v>6.3244297812672509E-3</c:v>
                </c:pt>
                <c:pt idx="28">
                  <c:v>5.4524228815610309E-3</c:v>
                </c:pt>
                <c:pt idx="29">
                  <c:v>4.6446604692888848E-3</c:v>
                </c:pt>
                <c:pt idx="30">
                  <c:v>3.9011878902923945E-3</c:v>
                </c:pt>
                <c:pt idx="31">
                  <c:v>3.221287248608878E-3</c:v>
                </c:pt>
                <c:pt idx="32">
                  <c:v>2.6035982470486007E-3</c:v>
                </c:pt>
                <c:pt idx="33">
                  <c:v>2.0462287929980472E-3</c:v>
                </c:pt>
                <c:pt idx="34">
                  <c:v>1.54685557497504E-3</c:v>
                </c:pt>
                <c:pt idx="35">
                  <c:v>1.1028149032208587E-3</c:v>
                </c:pt>
                <c:pt idx="36">
                  <c:v>7.1118417899948712E-4</c:v>
                </c:pt>
                <c:pt idx="37">
                  <c:v>3.6885441385554467E-4</c:v>
                </c:pt>
                <c:pt idx="38">
                  <c:v>7.2594263374785133E-5</c:v>
                </c:pt>
                <c:pt idx="39">
                  <c:v>-1.8089392855854001E-4</c:v>
                </c:pt>
                <c:pt idx="40">
                  <c:v>-3.9492555803096797E-4</c:v>
                </c:pt>
                <c:pt idx="41">
                  <c:v>-5.72792133110508E-4</c:v>
                </c:pt>
                <c:pt idx="42">
                  <c:v>-7.1772605696646986E-4</c:v>
                </c:pt>
                <c:pt idx="43">
                  <c:v>-8.3287129245370232E-4</c:v>
                </c:pt>
                <c:pt idx="44">
                  <c:v>-9.2125938729692696E-4</c:v>
                </c:pt>
                <c:pt idx="45">
                  <c:v>-9.8579035262787249E-4</c:v>
                </c:pt>
                <c:pt idx="46">
                  <c:v>-1.0292179052090362E-3</c:v>
                </c:pt>
                <c:pt idx="47">
                  <c:v>-1.0541386044324781E-3</c:v>
                </c:pt>
                <c:pt idx="48">
                  <c:v>-1.0629844383985415E-3</c:v>
                </c:pt>
                <c:pt idx="49">
                  <c:v>-1.0580184384220914E-3</c:v>
                </c:pt>
                <c:pt idx="50">
                  <c:v>-1.0413329276190418E-3</c:v>
                </c:pt>
                <c:pt idx="51">
                  <c:v>-1.0148500362982728E-3</c:v>
                </c:pt>
                <c:pt idx="52">
                  <c:v>-9.8032414429181816E-4</c:v>
                </c:pt>
                <c:pt idx="53">
                  <c:v>-9.393459377276507E-4</c:v>
                </c:pt>
                <c:pt idx="54">
                  <c:v>-8.9334779476757647E-4</c:v>
                </c:pt>
                <c:pt idx="55">
                  <c:v>-8.4361024123194833E-4</c:v>
                </c:pt>
                <c:pt idx="56">
                  <c:v>-7.9126924259337555E-4</c:v>
                </c:pt>
                <c:pt idx="57">
                  <c:v>-7.373241233662619E-4</c:v>
                </c:pt>
                <c:pt idx="58">
                  <c:v>-6.8264592830845718E-4</c:v>
                </c:pt>
                <c:pt idx="59">
                  <c:v>-6.2798606198044907E-4</c:v>
                </c:pt>
                <c:pt idx="60">
                  <c:v>-5.7398506400159889E-4</c:v>
                </c:pt>
                <c:pt idx="61">
                  <c:v>-5.211813967536962E-4</c:v>
                </c:pt>
                <c:pt idx="62">
                  <c:v>-4.7002014028498098E-4</c:v>
                </c:pt>
                <c:pt idx="63">
                  <c:v>-4.2086150575812621E-4</c:v>
                </c:pt>
                <c:pt idx="64">
                  <c:v>-3.7398909397630702E-4</c:v>
                </c:pt>
                <c:pt idx="65">
                  <c:v>-3.2961783933974602E-4</c:v>
                </c:pt>
                <c:pt idx="66">
                  <c:v>-2.879015920704837E-4</c:v>
                </c:pt>
                <c:pt idx="67">
                  <c:v>-2.4894030274493867E-4</c:v>
                </c:pt>
                <c:pt idx="68">
                  <c:v>-2.1278678314929635E-4</c:v>
                </c:pt>
                <c:pt idx="69">
                  <c:v>-1.7945302628504417E-4</c:v>
                </c:pt>
                <c:pt idx="70">
                  <c:v>-1.489160760687197E-4</c:v>
                </c:pt>
                <c:pt idx="71">
                  <c:v>-1.2112344396156549E-4</c:v>
                </c:pt>
                <c:pt idx="72">
                  <c:v>-9.5998075503614508E-5</c:v>
                </c:pt>
                <c:pt idx="73">
                  <c:v>-7.3442874585426913E-5</c:v>
                </c:pt>
                <c:pt idx="74">
                  <c:v>-5.3344797341773623E-5</c:v>
                </c:pt>
                <c:pt idx="75">
                  <c:v>-3.5578530866211657E-5</c:v>
                </c:pt>
                <c:pt idx="76">
                  <c:v>-2.0009774593197077E-5</c:v>
                </c:pt>
                <c:pt idx="77">
                  <c:v>-6.4981442421593327E-6</c:v>
                </c:pt>
                <c:pt idx="78">
                  <c:v>5.1002802699231782E-6</c:v>
                </c:pt>
                <c:pt idx="79">
                  <c:v>1.4930740503368359E-5</c:v>
                </c:pt>
                <c:pt idx="80">
                  <c:v>2.3137895693357735E-5</c:v>
                </c:pt>
                <c:pt idx="81">
                  <c:v>2.9864206147709143E-5</c:v>
                </c:pt>
                <c:pt idx="82">
                  <c:v>3.5248580576959777E-5</c:v>
                </c:pt>
                <c:pt idx="83">
                  <c:v>3.9425264409245085E-5</c:v>
                </c:pt>
                <c:pt idx="84">
                  <c:v>4.2522946685723896E-5</c:v>
                </c:pt>
                <c:pt idx="85">
                  <c:v>4.4664063859204509E-5</c:v>
                </c:pt>
                <c:pt idx="86">
                  <c:v>4.596427969360171E-5</c:v>
                </c:pt>
                <c:pt idx="87">
                  <c:v>4.6532121452776412E-5</c:v>
                </c:pt>
                <c:pt idx="88">
                  <c:v>4.6468753645462487E-5</c:v>
                </c:pt>
                <c:pt idx="89">
                  <c:v>4.5867871732818004E-5</c:v>
                </c:pt>
                <c:pt idx="90">
                  <c:v>4.4815699384172189E-5</c:v>
                </c:pt>
                <c:pt idx="91">
                  <c:v>4.3391074065110075E-5</c:v>
                </c:pt>
                <c:pt idx="92">
                  <c:v>4.16656069431774E-5</c:v>
                </c:pt>
                <c:pt idx="93">
                  <c:v>3.9703904285674156E-5</c:v>
                </c:pt>
                <c:pt idx="94">
                  <c:v>3.7563838689008751E-5</c:v>
                </c:pt>
                <c:pt idx="95">
                  <c:v>3.5296859609755653E-5</c:v>
                </c:pt>
                <c:pt idx="96">
                  <c:v>3.2948333755645432E-5</c:v>
                </c:pt>
                <c:pt idx="97">
                  <c:v>3.0557906933686943E-5</c:v>
                </c:pt>
                <c:pt idx="98">
                  <c:v>2.8159879937480949E-5</c:v>
                </c:pt>
                <c:pt idx="99">
                  <c:v>2.5783591982910632E-5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50A-40A4-AB70-388CF38CD668}"/>
            </c:ext>
          </c:extLst>
        </c:ser>
        <c:ser>
          <c:idx val="1"/>
          <c:order val="1"/>
          <c:tx>
            <c:strRef>
              <c:f>'Blue Square'!$H$1:$H$3</c:f>
              <c:strCache>
                <c:ptCount val="3"/>
                <c:pt idx="0">
                  <c:v>Calculated Values</c:v>
                </c:pt>
                <c:pt idx="1">
                  <c:v>Rear Spring</c:v>
                </c:pt>
                <c:pt idx="2">
                  <c:v>Underdamped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'Blue Square'!$F$4:$F$103</c:f>
              <c:numCache>
                <c:formatCode>General</c:formatCode>
                <c:ptCount val="10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</c:numCache>
            </c:numRef>
          </c:xVal>
          <c:yVal>
            <c:numRef>
              <c:f>'Blue Square'!$H$4:$H$103</c:f>
              <c:numCache>
                <c:formatCode>General</c:formatCode>
                <c:ptCount val="100"/>
                <c:pt idx="0">
                  <c:v>5.4668211401168671E-3</c:v>
                </c:pt>
                <c:pt idx="1">
                  <c:v>9.9034411482198572E-3</c:v>
                </c:pt>
                <c:pt idx="2">
                  <c:v>1.3375463778817867E-2</c:v>
                </c:pt>
                <c:pt idx="3">
                  <c:v>1.596035167663655E-2</c:v>
                </c:pt>
                <c:pt idx="4">
                  <c:v>1.7743649166703943E-2</c:v>
                </c:pt>
                <c:pt idx="5">
                  <c:v>1.8815638023608004E-2</c:v>
                </c:pt>
                <c:pt idx="6">
                  <c:v>1.9268433434883055E-2</c:v>
                </c:pt>
                <c:pt idx="7">
                  <c:v>1.9193515833824441E-2</c:v>
                </c:pt>
                <c:pt idx="8">
                  <c:v>1.8679684742342193E-2</c:v>
                </c:pt>
                <c:pt idx="9">
                  <c:v>1.7811413128230688E-2</c:v>
                </c:pt>
                <c:pt idx="10">
                  <c:v>1.66675749098728E-2</c:v>
                </c:pt>
                <c:pt idx="11">
                  <c:v>1.5320513981868865E-2</c:v>
                </c:pt>
                <c:pt idx="12">
                  <c:v>1.383542032168557E-2</c:v>
                </c:pt>
                <c:pt idx="13">
                  <c:v>1.2269977197787175E-2</c:v>
                </c:pt>
                <c:pt idx="14">
                  <c:v>1.0674243059953533E-2</c:v>
                </c:pt>
                <c:pt idx="15">
                  <c:v>9.090732181537749E-3</c:v>
                </c:pt>
                <c:pt idx="16">
                  <c:v>7.5546593765812992E-3</c:v>
                </c:pt>
                <c:pt idx="17">
                  <c:v>6.0943159764919128E-3</c:v>
                </c:pt>
                <c:pt idx="18">
                  <c:v>4.7315465772439546E-3</c:v>
                </c:pt>
                <c:pt idx="19">
                  <c:v>3.4822987274814535E-3</c:v>
                </c:pt>
                <c:pt idx="20">
                  <c:v>2.3572206030123282E-3</c:v>
                </c:pt>
                <c:pt idx="21">
                  <c:v>1.3622847008067272E-3</c:v>
                </c:pt>
                <c:pt idx="22">
                  <c:v>4.9941859695037147E-4</c:v>
                </c:pt>
                <c:pt idx="23">
                  <c:v>-2.3287322665669697E-4</c:v>
                </c:pt>
                <c:pt idx="24">
                  <c:v>-8.3890963391537233E-4</c:v>
                </c:pt>
                <c:pt idx="25">
                  <c:v>-1.3252656240161239E-3</c:v>
                </c:pt>
                <c:pt idx="26">
                  <c:v>-1.7002456282010979E-3</c:v>
                </c:pt>
                <c:pt idx="27">
                  <c:v>-1.9734030163803202E-3</c:v>
                </c:pt>
                <c:pt idx="28">
                  <c:v>-2.1551094891633545E-3</c:v>
                </c:pt>
                <c:pt idx="29">
                  <c:v>-2.256176251755641E-3</c:v>
                </c:pt>
                <c:pt idx="30">
                  <c:v>-2.2875273359050322E-3</c:v>
                </c:pt>
                <c:pt idx="31">
                  <c:v>-2.2599241496040973E-3</c:v>
                </c:pt>
                <c:pt idx="32">
                  <c:v>-2.1837392815963236E-3</c:v>
                </c:pt>
                <c:pt idx="33">
                  <c:v>-2.0687767550836358E-3</c:v>
                </c:pt>
                <c:pt idx="34">
                  <c:v>-1.924135295679045E-3</c:v>
                </c:pt>
                <c:pt idx="35">
                  <c:v>-1.7581107338579265E-3</c:v>
                </c:pt>
                <c:pt idx="36">
                  <c:v>-1.5781333819514512E-3</c:v>
                </c:pt>
                <c:pt idx="37">
                  <c:v>-1.3907360895391535E-3</c:v>
                </c:pt>
                <c:pt idx="38">
                  <c:v>-1.2015486683821016E-3</c:v>
                </c:pt>
                <c:pt idx="39">
                  <c:v>-1.0153144687278872E-3</c:v>
                </c:pt>
                <c:pt idx="40">
                  <c:v>-8.3592506372645993E-4</c:v>
                </c:pt>
                <c:pt idx="41">
                  <c:v>-6.6646923981867354E-4</c:v>
                </c:pt>
                <c:pt idx="42">
                  <c:v>-5.0929278170716683E-4</c:v>
                </c:pt>
                <c:pt idx="43">
                  <c:v>-3.6606586587089538E-4</c:v>
                </c:pt>
                <c:pt idx="44">
                  <c:v>-2.3785522318348076E-4</c:v>
                </c:pt>
                <c:pt idx="45">
                  <c:v>-1.2519858738796677E-4</c:v>
                </c:pt>
                <c:pt idx="46">
                  <c:v>-2.8179302009690096E-5</c:v>
                </c:pt>
                <c:pt idx="47">
                  <c:v>5.3500694551468903E-5</c:v>
                </c:pt>
                <c:pt idx="48">
                  <c:v>1.2045095425048137E-4</c:v>
                </c:pt>
                <c:pt idx="49">
                  <c:v>1.7352681235331595E-4</c:v>
                </c:pt>
                <c:pt idx="50">
                  <c:v>2.1376873899723215E-4</c:v>
                </c:pt>
                <c:pt idx="51">
                  <c:v>2.423473409577721E-4</c:v>
                </c:pt>
                <c:pt idx="52">
                  <c:v>2.6051437480400027E-4</c:v>
                </c:pt>
                <c:pt idx="53">
                  <c:v>2.6955993171497177E-4</c:v>
                </c:pt>
                <c:pt idx="54">
                  <c:v>2.7077578269031545E-4</c:v>
                </c:pt>
                <c:pt idx="55">
                  <c:v>2.6542472990552675E-4</c:v>
                </c:pt>
                <c:pt idx="56">
                  <c:v>2.5471569418963251E-4</c:v>
                </c:pt>
                <c:pt idx="57">
                  <c:v>2.3978417827355346E-4</c:v>
                </c:pt>
                <c:pt idx="58">
                  <c:v>2.2167767849903702E-4</c:v>
                </c:pt>
                <c:pt idx="59">
                  <c:v>2.0134557181006286E-4</c:v>
                </c:pt>
                <c:pt idx="60">
                  <c:v>1.7963297767103627E-4</c:v>
                </c:pt>
                <c:pt idx="61">
                  <c:v>1.5727808362518003E-4</c:v>
                </c:pt>
                <c:pt idx="62">
                  <c:v>1.3491242609966816E-4</c:v>
                </c:pt>
                <c:pt idx="63">
                  <c:v>1.1306363243313413E-4</c:v>
                </c:pt>
                <c:pt idx="64">
                  <c:v>9.2160153715618954E-5</c:v>
                </c:pt>
                <c:pt idx="65">
                  <c:v>7.2537548810702545E-5</c:v>
                </c:pt>
                <c:pt idx="66">
                  <c:v>5.4445915969010077E-5</c:v>
                </c:pt>
                <c:pt idx="67">
                  <c:v>3.8058108026651068E-5</c:v>
                </c:pt>
                <c:pt idx="68">
                  <c:v>2.3478408796045867E-5</c:v>
                </c:pt>
                <c:pt idx="69">
                  <c:v>1.0751390586894963E-5</c:v>
                </c:pt>
                <c:pt idx="70">
                  <c:v>-1.2928527168554293E-7</c:v>
                </c:pt>
                <c:pt idx="71">
                  <c:v>-9.212322421014357E-6</c:v>
                </c:pt>
                <c:pt idx="72">
                  <c:v>-1.6580656927120392E-5</c:v>
                </c:pt>
                <c:pt idx="73">
                  <c:v>-2.2343861213929468E-5</c:v>
                </c:pt>
                <c:pt idx="74">
                  <c:v>-2.6631174587050491E-5</c:v>
                </c:pt>
                <c:pt idx="75">
                  <c:v>-2.9585220865176715E-5</c:v>
                </c:pt>
                <c:pt idx="76">
                  <c:v>-3.1356447499788747E-5</c:v>
                </c:pt>
                <c:pt idx="77">
                  <c:v>-3.2098297929946986E-5</c:v>
                </c:pt>
                <c:pt idx="78">
                  <c:v>-3.1963109741991765E-5</c:v>
                </c:pt>
                <c:pt idx="79">
                  <c:v>-3.1098715364639758E-5</c:v>
                </c:pt>
                <c:pt idx="80">
                  <c:v>-2.9645709350187799E-5</c:v>
                </c:pt>
                <c:pt idx="81">
                  <c:v>-2.7735336549320033E-5</c:v>
                </c:pt>
                <c:pt idx="82">
                  <c:v>-2.5487948425089558E-5</c:v>
                </c:pt>
                <c:pt idx="83">
                  <c:v>-2.3011970094821697E-5</c:v>
                </c:pt>
                <c:pt idx="84">
                  <c:v>-2.040331814975837E-5</c:v>
                </c:pt>
                <c:pt idx="85">
                  <c:v>-1.7745208591618157E-5</c:v>
                </c:pt>
                <c:pt idx="86">
                  <c:v>-1.510829505804355E-5</c:v>
                </c:pt>
                <c:pt idx="87">
                  <c:v>-1.2551079610998092E-5</c:v>
                </c:pt>
                <c:pt idx="88">
                  <c:v>-1.0120541474788641E-5</c:v>
                </c:pt>
                <c:pt idx="89">
                  <c:v>-7.8529329936689006E-6</c:v>
                </c:pt>
                <c:pt idx="90">
                  <c:v>-5.7746965145185805E-6</c:v>
                </c:pt>
                <c:pt idx="91">
                  <c:v>-3.9034606925134003E-6</c:v>
                </c:pt>
                <c:pt idx="92">
                  <c:v>-2.2490796954679259E-6</c:v>
                </c:pt>
                <c:pt idx="93">
                  <c:v>-8.1468379803704435E-7</c:v>
                </c:pt>
                <c:pt idx="94">
                  <c:v>4.0228521393957472E-7</c:v>
                </c:pt>
                <c:pt idx="95">
                  <c:v>1.4090756676164834E-6</c:v>
                </c:pt>
                <c:pt idx="96">
                  <c:v>2.2166820219615986E-6</c:v>
                </c:pt>
                <c:pt idx="97">
                  <c:v>2.838968504156289E-6</c:v>
                </c:pt>
                <c:pt idx="98">
                  <c:v>3.2918698158008282E-6</c:v>
                </c:pt>
                <c:pt idx="99">
                  <c:v>3.5926749901189281E-6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50A-40A4-AB70-388CF38CD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0579544"/>
        <c:axId val="810580528"/>
      </c:scatterChart>
      <c:valAx>
        <c:axId val="810579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0580528"/>
        <c:crosses val="autoZero"/>
        <c:crossBetween val="midCat"/>
      </c:valAx>
      <c:valAx>
        <c:axId val="810580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Shock Displacement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10579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Black Diamond Calculated Values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'Black Diamond'!$G$1:$G$3</c:f>
              <c:strCache>
                <c:ptCount val="3"/>
                <c:pt idx="0">
                  <c:v>Calculated Values</c:v>
                </c:pt>
                <c:pt idx="1">
                  <c:v>Front Fork</c:v>
                </c:pt>
                <c:pt idx="2">
                  <c:v>Underdamped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'Black Diamond'!$F$4:$F$103</c:f>
              <c:numCache>
                <c:formatCode>General</c:formatCode>
                <c:ptCount val="10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</c:numCache>
            </c:numRef>
          </c:xVal>
          <c:yVal>
            <c:numRef>
              <c:f>'Black Diamond'!$G$4:$G$103</c:f>
              <c:numCache>
                <c:formatCode>General</c:formatCode>
                <c:ptCount val="100"/>
                <c:pt idx="0">
                  <c:v>1.1346892796691644E-2</c:v>
                </c:pt>
                <c:pt idx="1">
                  <c:v>2.1423031736820586E-2</c:v>
                </c:pt>
                <c:pt idx="2">
                  <c:v>3.0284631105639264E-2</c:v>
                </c:pt>
                <c:pt idx="3">
                  <c:v>3.7991252035481649E-2</c:v>
                </c:pt>
                <c:pt idx="4">
                  <c:v>4.4605001139122399E-2</c:v>
                </c:pt>
                <c:pt idx="5">
                  <c:v>5.0189793493707814E-2</c:v>
                </c:pt>
                <c:pt idx="6">
                  <c:v>5.4810678849246015E-2</c:v>
                </c:pt>
                <c:pt idx="7">
                  <c:v>5.8533229573460792E-2</c:v>
                </c:pt>
                <c:pt idx="8">
                  <c:v>6.142298853173745E-2</c:v>
                </c:pt>
                <c:pt idx="9">
                  <c:v>6.3544974834165463E-2</c:v>
                </c:pt>
                <c:pt idx="10">
                  <c:v>6.4963245158498439E-2</c:v>
                </c:pt>
                <c:pt idx="11">
                  <c:v>6.5740508175354803E-2</c:v>
                </c:pt>
                <c:pt idx="12">
                  <c:v>6.5937789457307036E-2</c:v>
                </c:pt>
                <c:pt idx="13">
                  <c:v>6.5614144143806605E-2</c:v>
                </c:pt>
                <c:pt idx="14">
                  <c:v>6.4826414556341819E-2</c:v>
                </c:pt>
                <c:pt idx="15">
                  <c:v>6.3629029910062959E-2</c:v>
                </c:pt>
                <c:pt idx="16">
                  <c:v>6.207384524662813E-2</c:v>
                </c:pt>
                <c:pt idx="17">
                  <c:v>6.0210016715601257E-2</c:v>
                </c:pt>
                <c:pt idx="18">
                  <c:v>5.8083910355841553E-2</c:v>
                </c:pt>
                <c:pt idx="19">
                  <c:v>5.5739041571527814E-2</c:v>
                </c:pt>
                <c:pt idx="20">
                  <c:v>5.3216042557442646E-2</c:v>
                </c:pt>
                <c:pt idx="21">
                  <c:v>5.0552655002690926E-2</c:v>
                </c:pt>
                <c:pt idx="22">
                  <c:v>4.7783745489060878E-2</c:v>
                </c:pt>
                <c:pt idx="23">
                  <c:v>4.4941341097787094E-2</c:v>
                </c:pt>
                <c:pt idx="24">
                  <c:v>4.2054682844708362E-2</c:v>
                </c:pt>
                <c:pt idx="25">
                  <c:v>3.9150294677013336E-2</c:v>
                </c:pt>
                <c:pt idx="26">
                  <c:v>3.6252065883349664E-2</c:v>
                </c:pt>
                <c:pt idx="27">
                  <c:v>3.3381344891575362E-2</c:v>
                </c:pt>
                <c:pt idx="28">
                  <c:v>3.0557042553514744E-2</c:v>
                </c:pt>
                <c:pt idx="29">
                  <c:v>2.7795743142527585E-2</c:v>
                </c:pt>
                <c:pt idx="30">
                  <c:v>2.5111821416408806E-2</c:v>
                </c:pt>
                <c:pt idx="31">
                  <c:v>2.2517564224114252E-2</c:v>
                </c:pt>
                <c:pt idx="32">
                  <c:v>2.0023295259181603E-2</c:v>
                </c:pt>
                <c:pt idx="33">
                  <c:v>1.7637501684703051E-2</c:v>
                </c:pt>
                <c:pt idx="34">
                  <c:v>1.5366961473635124E-2</c:v>
                </c:pt>
                <c:pt idx="35">
                  <c:v>1.321687042351545E-2</c:v>
                </c:pt>
                <c:pt idx="36">
                  <c:v>1.1190967915804009E-2</c:v>
                </c:pt>
                <c:pt idx="37">
                  <c:v>9.2916605966641783E-3</c:v>
                </c:pt>
                <c:pt idx="38">
                  <c:v>7.5201432577143056E-3</c:v>
                </c:pt>
                <c:pt idx="39">
                  <c:v>5.8765162918507641E-3</c:v>
                </c:pt>
                <c:pt idx="40">
                  <c:v>4.3598991904731333E-3</c:v>
                </c:pt>
                <c:pt idx="41">
                  <c:v>2.9685396341963045E-3</c:v>
                </c:pt>
                <c:pt idx="42">
                  <c:v>1.6999178093348901E-3</c:v>
                </c:pt>
                <c:pt idx="43">
                  <c:v>5.5084565706173521E-4</c:v>
                </c:pt>
                <c:pt idx="44">
                  <c:v>-4.8243916880626354E-4</c:v>
                </c:pt>
                <c:pt idx="45">
                  <c:v>-1.4041847959003451E-3</c:v>
                </c:pt>
                <c:pt idx="46">
                  <c:v>-2.219042181649874E-3</c:v>
                </c:pt>
                <c:pt idx="47">
                  <c:v>-2.931987765435658E-3</c:v>
                </c:pt>
                <c:pt idx="48">
                  <c:v>-3.548251726398494E-3</c:v>
                </c:pt>
                <c:pt idx="49">
                  <c:v>-4.0732518060262518E-3</c:v>
                </c:pt>
                <c:pt idx="50">
                  <c:v>-4.5125326166853379E-3</c:v>
                </c:pt>
                <c:pt idx="51">
                  <c:v>-4.871710323866304E-3</c:v>
                </c:pt>
                <c:pt idx="52">
                  <c:v>-5.1564225608552259E-3</c:v>
                </c:pt>
                <c:pt idx="53">
                  <c:v>-5.3722834095902674E-3</c:v>
                </c:pt>
                <c:pt idx="54">
                  <c:v>-5.5248432603774156E-3</c:v>
                </c:pt>
                <c:pt idx="55">
                  <c:v>-5.6195533456762309E-3</c:v>
                </c:pt>
                <c:pt idx="56">
                  <c:v>-5.6617347290810202E-3</c:v>
                </c:pt>
                <c:pt idx="57">
                  <c:v>-5.6565515196683267E-3</c:v>
                </c:pt>
                <c:pt idx="58">
                  <c:v>-5.6089880738149234E-3</c:v>
                </c:pt>
                <c:pt idx="59">
                  <c:v>-5.5238299411711845E-3</c:v>
                </c:pt>
                <c:pt idx="60">
                  <c:v>-5.4056483084672152E-3</c:v>
                </c:pt>
                <c:pt idx="61">
                  <c:v>-5.2587876940049317E-3</c:v>
                </c:pt>
                <c:pt idx="62">
                  <c:v>-5.0873566468262604E-3</c:v>
                </c:pt>
                <c:pt idx="63">
                  <c:v>-4.8952212074328269E-3</c:v>
                </c:pt>
                <c:pt idx="64">
                  <c:v>-4.6860008913610302E-3</c:v>
                </c:pt>
                <c:pt idx="65">
                  <c:v>-4.4630669626939947E-3</c:v>
                </c:pt>
                <c:pt idx="66">
                  <c:v>-4.2295427715335213E-3</c:v>
                </c:pt>
                <c:pt idx="67">
                  <c:v>-3.9883059373867864E-3</c:v>
                </c:pt>
                <c:pt idx="68">
                  <c:v>-3.7419921691806261E-3</c:v>
                </c:pt>
                <c:pt idx="69">
                  <c:v>-3.4930005220478915E-3</c:v>
                </c:pt>
                <c:pt idx="70">
                  <c:v>-3.2434999009939799E-3</c:v>
                </c:pt>
                <c:pt idx="71">
                  <c:v>-2.9954366319156849E-3</c:v>
                </c:pt>
                <c:pt idx="72">
                  <c:v>-2.7505429310889667E-3</c:v>
                </c:pt>
                <c:pt idx="73">
                  <c:v>-2.5103461150567021E-3</c:v>
                </c:pt>
                <c:pt idx="74">
                  <c:v>-2.2761784037323438E-3</c:v>
                </c:pt>
                <c:pt idx="75">
                  <c:v>-2.0491871804006602E-3</c:v>
                </c:pt>
                <c:pt idx="76">
                  <c:v>-1.8303455830620467E-3</c:v>
                </c:pt>
                <c:pt idx="77">
                  <c:v>-1.6204633121608115E-3</c:v>
                </c:pt>
                <c:pt idx="78">
                  <c:v>-1.420197550098235E-3</c:v>
                </c:pt>
                <c:pt idx="79">
                  <c:v>-1.2300638980034158E-3</c:v>
                </c:pt>
                <c:pt idx="80">
                  <c:v>-1.0504472449729431E-3</c:v>
                </c:pt>
                <c:pt idx="81">
                  <c:v>-8.816124943551351E-4</c:v>
                </c:pt>
                <c:pt idx="82">
                  <c:v>-7.2371508061380078E-4</c:v>
                </c:pt>
                <c:pt idx="83">
                  <c:v>-5.768112188348465E-4</c:v>
                </c:pt>
                <c:pt idx="84">
                  <c:v>-4.4086783701635413E-4</c:v>
                </c:pt>
                <c:pt idx="85">
                  <c:v>-3.1577214889541019E-4</c:v>
                </c:pt>
                <c:pt idx="86">
                  <c:v>-2.0134083220314924E-4</c:v>
                </c:pt>
                <c:pt idx="87">
                  <c:v>-9.7328783898931472E-5</c:v>
                </c:pt>
                <c:pt idx="88">
                  <c:v>-3.4374301146084298E-6</c:v>
                </c:pt>
                <c:pt idx="89">
                  <c:v>8.0677425756418416E-5</c:v>
                </c:pt>
                <c:pt idx="90">
                  <c:v>1.5539822815661733E-4</c:v>
                </c:pt>
                <c:pt idx="91">
                  <c:v>2.2113877420599923E-4</c:v>
                </c:pt>
                <c:pt idx="92">
                  <c:v>2.7833780052091001E-4</c:v>
                </c:pt>
                <c:pt idx="93">
                  <c:v>3.2745305035246938E-4</c:v>
                </c:pt>
                <c:pt idx="94">
                  <c:v>3.6895581591565288E-4</c:v>
                </c:pt>
                <c:pt idx="95">
                  <c:v>4.0332594770974196E-4</c:v>
                </c:pt>
                <c:pt idx="96">
                  <c:v>4.3104731994346776E-4</c:v>
                </c:pt>
                <c:pt idx="97">
                  <c:v>4.5260373885385352E-4</c:v>
                </c:pt>
                <c:pt idx="98">
                  <c:v>4.6847527872643905E-4</c:v>
                </c:pt>
                <c:pt idx="99">
                  <c:v>4.7913502876530324E-4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FA4-42AC-8F52-D846F15F7388}"/>
            </c:ext>
          </c:extLst>
        </c:ser>
        <c:ser>
          <c:idx val="1"/>
          <c:order val="1"/>
          <c:tx>
            <c:strRef>
              <c:f>'Black Diamond'!$H$1:$H$3</c:f>
              <c:strCache>
                <c:ptCount val="3"/>
                <c:pt idx="0">
                  <c:v>Calculated Values</c:v>
                </c:pt>
                <c:pt idx="1">
                  <c:v>Rear Spring</c:v>
                </c:pt>
                <c:pt idx="2">
                  <c:v>Underdamped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'Black Diamond'!$F$4:$F$103</c:f>
              <c:numCache>
                <c:formatCode>General</c:formatCode>
                <c:ptCount val="10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</c:numCache>
            </c:numRef>
          </c:xVal>
          <c:yVal>
            <c:numRef>
              <c:f>'Black Diamond'!$H$4:$H$103</c:f>
              <c:numCache>
                <c:formatCode>General</c:formatCode>
                <c:ptCount val="100"/>
                <c:pt idx="0">
                  <c:v>1.0455605414209838E-2</c:v>
                </c:pt>
                <c:pt idx="1">
                  <c:v>1.8125583597383706E-2</c:v>
                </c:pt>
                <c:pt idx="2">
                  <c:v>2.3443352411589111E-2</c:v>
                </c:pt>
                <c:pt idx="3">
                  <c:v>2.6809112745446475E-2</c:v>
                </c:pt>
                <c:pt idx="4">
                  <c:v>2.8585900037762759E-2</c:v>
                </c:pt>
                <c:pt idx="5">
                  <c:v>2.9097668626659402E-2</c:v>
                </c:pt>
                <c:pt idx="6">
                  <c:v>2.862898392365501E-2</c:v>
                </c:pt>
                <c:pt idx="7">
                  <c:v>2.7425950615846618E-2</c:v>
                </c:pt>
                <c:pt idx="8">
                  <c:v>2.5698056677995709E-2</c:v>
                </c:pt>
                <c:pt idx="9">
                  <c:v>2.3620661791872839E-2</c:v>
                </c:pt>
                <c:pt idx="10">
                  <c:v>2.1337904035755577E-2</c:v>
                </c:pt>
                <c:pt idx="11">
                  <c:v>1.8965839926855507E-2</c:v>
                </c:pt>
                <c:pt idx="12">
                  <c:v>1.6595669814897462E-2</c:v>
                </c:pt>
                <c:pt idx="13">
                  <c:v>1.4296933165723748E-2</c:v>
                </c:pt>
                <c:pt idx="14">
                  <c:v>1.2120586515132268E-2</c:v>
                </c:pt>
                <c:pt idx="15">
                  <c:v>1.0101900999737993E-2</c:v>
                </c:pt>
                <c:pt idx="16">
                  <c:v>8.2631366458116775E-3</c:v>
                </c:pt>
                <c:pt idx="17">
                  <c:v>6.6159673327471037E-3</c:v>
                </c:pt>
                <c:pt idx="18">
                  <c:v>5.1636438891024478E-3</c:v>
                </c:pt>
                <c:pt idx="19">
                  <c:v>3.90289348293409E-3</c:v>
                </c:pt>
                <c:pt idx="20">
                  <c:v>2.825561690520157E-3</c:v>
                </c:pt>
                <c:pt idx="21">
                  <c:v>1.9200097135906764E-3</c:v>
                </c:pt>
                <c:pt idx="22">
                  <c:v>1.1722834912231354E-3</c:v>
                </c:pt>
                <c:pt idx="23">
                  <c:v>5.6707422113557186E-4</c:v>
                </c:pt>
                <c:pt idx="24">
                  <c:v>8.8491341574801664E-5</c:v>
                </c:pt>
                <c:pt idx="25">
                  <c:v>-2.7933042413468657E-4</c:v>
                </c:pt>
                <c:pt idx="26">
                  <c:v>-5.517685758275251E-4</c:v>
                </c:pt>
                <c:pt idx="27">
                  <c:v>-7.4337431040967907E-4</c:v>
                </c:pt>
                <c:pt idx="28">
                  <c:v>-8.6763859077988845E-4</c:v>
                </c:pt>
                <c:pt idx="29">
                  <c:v>-9.3684493935944498E-4</c:v>
                </c:pt>
                <c:pt idx="30">
                  <c:v>-9.6199275837907899E-4</c:v>
                </c:pt>
                <c:pt idx="31">
                  <c:v>-9.527767337039791E-4</c:v>
                </c:pt>
                <c:pt idx="32">
                  <c:v>-9.1760964443580811E-4</c:v>
                </c:pt>
                <c:pt idx="33">
                  <c:v>-8.6367762211762096E-4</c:v>
                </c:pt>
                <c:pt idx="34">
                  <c:v>-7.9701854064045084E-4</c:v>
                </c:pt>
                <c:pt idx="35">
                  <c:v>-7.2261574253594443E-4</c:v>
                </c:pt>
                <c:pt idx="36">
                  <c:v>-6.4450070091386633E-4</c:v>
                </c:pt>
                <c:pt idx="37">
                  <c:v>-5.658594687519828E-4</c:v>
                </c:pt>
                <c:pt idx="38">
                  <c:v>-4.8913887501765986E-4</c:v>
                </c:pt>
                <c:pt idx="39">
                  <c:v>-4.1614939175756648E-4</c:v>
                </c:pt>
                <c:pt idx="40">
                  <c:v>-3.4816242325240551E-4</c:v>
                </c:pt>
                <c:pt idx="41">
                  <c:v>-2.8600046579812323E-4</c:v>
                </c:pt>
                <c:pt idx="42">
                  <c:v>-2.3011916472536788E-4</c:v>
                </c:pt>
                <c:pt idx="43">
                  <c:v>-1.8068076512467259E-4</c:v>
                </c:pt>
                <c:pt idx="44">
                  <c:v>-1.3761882616251749E-4</c:v>
                </c:pt>
                <c:pt idx="45">
                  <c:v>-1.0069435767222231E-4</c:v>
                </c:pt>
                <c:pt idx="46">
                  <c:v>-6.9543753401558149E-5</c:v>
                </c:pt>
                <c:pt idx="47">
                  <c:v>-4.3719048843978103E-5</c:v>
                </c:pt>
                <c:pt idx="48">
                  <c:v>-2.2721133162241746E-5</c:v>
                </c:pt>
                <c:pt idx="49">
                  <c:v>-6.0266036421763865E-6</c:v>
                </c:pt>
                <c:pt idx="50">
                  <c:v>6.8910242454100939E-6</c:v>
                </c:pt>
                <c:pt idx="51">
                  <c:v>1.6545040349863992E-5</c:v>
                </c:pt>
                <c:pt idx="52">
                  <c:v>2.3423508797255276E-5</c:v>
                </c:pt>
                <c:pt idx="53">
                  <c:v>2.7980831931446831E-5</c:v>
                </c:pt>
                <c:pt idx="54">
                  <c:v>3.0632306710072956E-5</c:v>
                </c:pt>
                <c:pt idx="55">
                  <c:v>3.1751125398976699E-5</c:v>
                </c:pt>
                <c:pt idx="56">
                  <c:v>3.1667330087416947E-5</c:v>
                </c:pt>
                <c:pt idx="57">
                  <c:v>3.0668289044460836E-5</c:v>
                </c:pt>
                <c:pt idx="58">
                  <c:v>2.9000320332959824E-5</c:v>
                </c:pt>
                <c:pt idx="59">
                  <c:v>2.687114295761819E-5</c:v>
                </c:pt>
                <c:pt idx="60">
                  <c:v>2.4452887128691642E-5</c:v>
                </c:pt>
                <c:pt idx="61">
                  <c:v>2.1885442300009682E-5</c:v>
                </c:pt>
                <c:pt idx="62">
                  <c:v>1.9279964100733515E-5</c:v>
                </c:pt>
                <c:pt idx="63">
                  <c:v>1.6722398964342971E-5</c:v>
                </c:pt>
                <c:pt idx="64">
                  <c:v>1.4276918184592153E-5</c:v>
                </c:pt>
                <c:pt idx="65">
                  <c:v>1.1989181451424544E-5</c:v>
                </c:pt>
                <c:pt idx="66">
                  <c:v>9.889373894170075E-6</c:v>
                </c:pt>
                <c:pt idx="67">
                  <c:v>7.9949806070705419E-6</c:v>
                </c:pt>
                <c:pt idx="68">
                  <c:v>6.3132789181477261E-6</c:v>
                </c:pt>
                <c:pt idx="69">
                  <c:v>4.8435416731906241E-6</c:v>
                </c:pt>
                <c:pt idx="70">
                  <c:v>3.5789549338849274E-6</c:v>
                </c:pt>
                <c:pt idx="71">
                  <c:v>2.5082611168857722E-6</c:v>
                </c:pt>
                <c:pt idx="72">
                  <c:v>1.6171440958191504E-6</c:v>
                </c:pt>
                <c:pt idx="73">
                  <c:v>8.8937649372255836E-7</c:v>
                </c:pt>
                <c:pt idx="74">
                  <c:v>3.0775162384632737E-7</c:v>
                </c:pt>
                <c:pt idx="75">
                  <c:v>-1.4517642438132606E-7</c:v>
                </c:pt>
                <c:pt idx="76">
                  <c:v>-4.8652095847834844E-7</c:v>
                </c:pt>
                <c:pt idx="77">
                  <c:v>-7.3263614062236148E-7</c:v>
                </c:pt>
                <c:pt idx="78">
                  <c:v>-8.9881390793960488E-7</c:v>
                </c:pt>
                <c:pt idx="79">
                  <c:v>-9.9908405719820229E-7</c:v>
                </c:pt>
                <c:pt idx="80">
                  <c:v>-1.0460989579657914E-6</c:v>
                </c:pt>
                <c:pt idx="81">
                  <c:v>-1.0510862504010274E-6</c:v>
                </c:pt>
                <c:pt idx="82">
                  <c:v>-1.0238548191967471E-6</c:v>
                </c:pt>
                <c:pt idx="83">
                  <c:v>-9.7284124638888949E-7</c:v>
                </c:pt>
                <c:pt idx="84">
                  <c:v>-9.0518578207509034E-7</c:v>
                </c:pt>
                <c:pt idx="85">
                  <c:v>-8.268285970617767E-7</c:v>
                </c:pt>
                <c:pt idx="86">
                  <c:v>-7.4261867052158326E-7</c:v>
                </c:pt>
                <c:pt idx="87">
                  <c:v>-6.5642910416769504E-7</c:v>
                </c:pt>
                <c:pt idx="88">
                  <c:v>-5.712739354492157E-7</c:v>
                </c:pt>
                <c:pt idx="89">
                  <c:v>-4.8942264530929155E-7</c:v>
                </c:pt>
                <c:pt idx="90">
                  <c:v>-4.1250952538357533E-7</c:v>
                </c:pt>
                <c:pt idx="91">
                  <c:v>-3.4163589293875238E-7</c:v>
                </c:pt>
                <c:pt idx="92">
                  <c:v>-2.7746382961096107E-7</c:v>
                </c:pt>
                <c:pt idx="93">
                  <c:v>-2.2030068393097436E-7</c:v>
                </c:pt>
                <c:pt idx="94">
                  <c:v>-1.7017403040051249E-7</c:v>
                </c:pt>
                <c:pt idx="95">
                  <c:v>-1.2689713247289117E-7</c:v>
                </c:pt>
                <c:pt idx="96">
                  <c:v>-9.0125225981172543E-8</c:v>
                </c:pt>
                <c:pt idx="97">
                  <c:v>-5.9403135630006787E-8</c:v>
                </c:pt>
                <c:pt idx="98">
                  <c:v>-3.420487165459298E-8</c:v>
                </c:pt>
                <c:pt idx="99">
                  <c:v>-1.3965937269842966E-8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FA4-42AC-8F52-D846F15F73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6963024"/>
        <c:axId val="756961384"/>
      </c:scatterChart>
      <c:valAx>
        <c:axId val="756963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961384"/>
        <c:crosses val="autoZero"/>
        <c:crossBetween val="midCat"/>
      </c:valAx>
      <c:valAx>
        <c:axId val="756961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Shock Displacement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569630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Double Black Diamond Calculated Values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'Double Black Diamond'!$G$1:$G$3</c:f>
              <c:strCache>
                <c:ptCount val="3"/>
                <c:pt idx="0">
                  <c:v>Calculated Values</c:v>
                </c:pt>
                <c:pt idx="1">
                  <c:v>Front Fork</c:v>
                </c:pt>
                <c:pt idx="2">
                  <c:v>Overdamped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1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'Double Black Diamond'!$F$4:$F$103</c:f>
              <c:numCache>
                <c:formatCode>General</c:formatCode>
                <c:ptCount val="10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</c:numCache>
            </c:numRef>
          </c:xVal>
          <c:yVal>
            <c:numRef>
              <c:f>'Double Black Diamond'!$G$4:$G$103</c:f>
              <c:numCache>
                <c:formatCode>General</c:formatCode>
                <c:ptCount val="100"/>
                <c:pt idx="0">
                  <c:v>2.8123642767661123E-2</c:v>
                </c:pt>
                <c:pt idx="1">
                  <c:v>4.9659186684629604E-2</c:v>
                </c:pt>
                <c:pt idx="2">
                  <c:v>6.5768466256269573E-2</c:v>
                </c:pt>
                <c:pt idx="3">
                  <c:v>7.7430509358647426E-2</c:v>
                </c:pt>
                <c:pt idx="4">
                  <c:v>8.5468601849540263E-2</c:v>
                </c:pt>
                <c:pt idx="5">
                  <c:v>9.0573491690011956E-2</c:v>
                </c:pt>
                <c:pt idx="6">
                  <c:v>9.332326981975822E-2</c:v>
                </c:pt>
                <c:pt idx="7">
                  <c:v>9.4200391539950676E-2</c:v>
                </c:pt>
                <c:pt idx="8">
                  <c:v>9.3606238596139979E-2</c:v>
                </c:pt>
                <c:pt idx="9">
                  <c:v>9.1873567191908742E-2</c:v>
                </c:pt>
                <c:pt idx="10">
                  <c:v>8.9277139649108356E-2</c:v>
                </c:pt>
                <c:pt idx="11">
                  <c:v>8.6042796363653432E-2</c:v>
                </c:pt>
                <c:pt idx="12">
                  <c:v>8.2355189220980757E-2</c:v>
                </c:pt>
                <c:pt idx="13">
                  <c:v>7.8364366981813594E-2</c:v>
                </c:pt>
                <c:pt idx="14">
                  <c:v>7.4191376676338155E-2</c:v>
                </c:pt>
                <c:pt idx="15">
                  <c:v>6.9933022189659882E-2</c:v>
                </c:pt>
                <c:pt idx="16">
                  <c:v>6.5665901495163784E-2</c:v>
                </c:pt>
                <c:pt idx="17">
                  <c:v>6.1449826972170218E-2</c:v>
                </c:pt>
                <c:pt idx="18">
                  <c:v>5.7330718563720233E-2</c:v>
                </c:pt>
                <c:pt idx="19">
                  <c:v>5.3343046872221467E-2</c:v>
                </c:pt>
                <c:pt idx="20">
                  <c:v>4.9511892380383511E-2</c:v>
                </c:pt>
                <c:pt idx="21">
                  <c:v>4.5854677584636773E-2</c:v>
                </c:pt>
                <c:pt idx="22">
                  <c:v>4.2382620732298169E-2</c:v>
                </c:pt>
                <c:pt idx="23">
                  <c:v>3.9101952884087396E-2</c:v>
                </c:pt>
                <c:pt idx="24">
                  <c:v>3.6014934026180175E-2</c:v>
                </c:pt>
                <c:pt idx="25">
                  <c:v>3.3120698797597145E-2</c:v>
                </c:pt>
                <c:pt idx="26">
                  <c:v>3.0415957964162701E-2</c:v>
                </c:pt>
                <c:pt idx="27">
                  <c:v>2.7895577959940337E-2</c:v>
                </c:pt>
                <c:pt idx="28">
                  <c:v>2.5553057544874767E-2</c:v>
                </c:pt>
                <c:pt idx="29">
                  <c:v>2.3380917818964661E-2</c:v>
                </c:pt>
                <c:pt idx="30">
                  <c:v>2.1371019424396415E-2</c:v>
                </c:pt>
                <c:pt idx="31">
                  <c:v>1.9514818702192044E-2</c:v>
                </c:pt>
                <c:pt idx="32">
                  <c:v>1.780357280114999E-2</c:v>
                </c:pt>
                <c:pt idx="33">
                  <c:v>1.6228502222829774E-2</c:v>
                </c:pt>
                <c:pt idx="34">
                  <c:v>1.4780917991365461E-2</c:v>
                </c:pt>
                <c:pt idx="35">
                  <c:v>1.345231953020775E-2</c:v>
                </c:pt>
                <c:pt idx="36">
                  <c:v>1.2234468382950834E-2</c:v>
                </c:pt>
                <c:pt idx="37">
                  <c:v>1.1119442109316629E-2</c:v>
                </c:pt>
                <c:pt idx="38">
                  <c:v>1.0099672000437798E-2</c:v>
                </c:pt>
                <c:pt idx="39">
                  <c:v>9.1679676728200644E-3</c:v>
                </c:pt>
                <c:pt idx="40">
                  <c:v>8.3175311031594232E-3</c:v>
                </c:pt>
                <c:pt idx="41">
                  <c:v>7.5419622439606513E-3</c:v>
                </c:pt>
                <c:pt idx="42">
                  <c:v>6.8352580018318908E-3</c:v>
                </c:pt>
                <c:pt idx="43">
                  <c:v>6.1918060571117461E-3</c:v>
                </c:pt>
                <c:pt idx="44">
                  <c:v>5.6063747471299446E-3</c:v>
                </c:pt>
                <c:pt idx="45">
                  <c:v>5.0741000190426709E-3</c:v>
                </c:pt>
                <c:pt idx="46">
                  <c:v>4.5904702759288832E-3</c:v>
                </c:pt>
                <c:pt idx="47">
                  <c:v>4.1513097866285147E-3</c:v>
                </c:pt>
                <c:pt idx="48">
                  <c:v>3.7527612013154173E-3</c:v>
                </c:pt>
                <c:pt idx="49">
                  <c:v>3.3912676073141199E-3</c:v>
                </c:pt>
                <c:pt idx="50">
                  <c:v>3.0635544700132657E-3</c:v>
                </c:pt>
                <c:pt idx="51">
                  <c:v>2.7666117291811503E-3</c:v>
                </c:pt>
                <c:pt idx="52">
                  <c:v>2.4976762592268673E-3</c:v>
                </c:pt>
                <c:pt idx="53">
                  <c:v>2.254214850990427E-3</c:v>
                </c:pt>
                <c:pt idx="54">
                  <c:v>2.033907830794207E-3</c:v>
                </c:pt>
                <c:pt idx="55">
                  <c:v>1.8346333983032801E-3</c:v>
                </c:pt>
                <c:pt idx="56">
                  <c:v>1.6544527369957516E-3</c:v>
                </c:pt>
                <c:pt idx="57">
                  <c:v>1.4915959286913129E-3</c:v>
                </c:pt>
                <c:pt idx="58">
                  <c:v>1.3444486857400184E-3</c:v>
                </c:pt>
                <c:pt idx="59">
                  <c:v>1.2115399003808285E-3</c:v>
                </c:pt>
                <c:pt idx="60">
                  <c:v>1.0915299998040611E-3</c:v>
                </c:pt>
                <c:pt idx="61">
                  <c:v>9.8320008705389907E-4</c:v>
                </c:pt>
                <c:pt idx="62">
                  <c:v>8.8544184163205284E-4</c:v>
                </c:pt>
                <c:pt idx="63">
                  <c:v>7.9724814912800039E-4</c:v>
                </c:pt>
                <c:pt idx="64">
                  <c:v>7.1770442608252473E-4</c:v>
                </c:pt>
                <c:pt idx="65">
                  <c:v>6.4598060431927853E-4</c:v>
                </c:pt>
                <c:pt idx="66">
                  <c:v>5.8132373792736637E-4</c:v>
                </c:pt>
                <c:pt idx="67">
                  <c:v>5.2305119575771751E-4</c:v>
                </c:pt>
                <c:pt idx="68">
                  <c:v>4.7054440255014717E-4</c:v>
                </c:pt>
                <c:pt idx="69">
                  <c:v>4.2324309250637188E-4</c:v>
                </c:pt>
                <c:pt idx="70">
                  <c:v>3.806400401592363E-4</c:v>
                </c:pt>
                <c:pt idx="71">
                  <c:v>3.4227623467176328E-4</c:v>
                </c:pt>
                <c:pt idx="72">
                  <c:v>3.0773646515913747E-4</c:v>
                </c:pt>
                <c:pt idx="73">
                  <c:v>2.7664528620365323E-4</c:v>
                </c:pt>
                <c:pt idx="74">
                  <c:v>2.4866333437977695E-4</c:v>
                </c:pt>
                <c:pt idx="75">
                  <c:v>2.2348396828586787E-4</c:v>
                </c:pt>
                <c:pt idx="76">
                  <c:v>2.0083020626095318E-4</c:v>
                </c:pt>
                <c:pt idx="77">
                  <c:v>1.8045193762584945E-4</c:v>
                </c:pt>
                <c:pt idx="78">
                  <c:v>1.6212338490998813E-4</c:v>
                </c:pt>
                <c:pt idx="79">
                  <c:v>1.4564079609510119E-4</c:v>
                </c:pt>
                <c:pt idx="80">
                  <c:v>1.3082034741468521E-4</c:v>
                </c:pt>
                <c:pt idx="81">
                  <c:v>1.1749623868715527E-4</c:v>
                </c:pt>
                <c:pt idx="82">
                  <c:v>1.055189645264442E-4</c:v>
                </c:pt>
                <c:pt idx="83">
                  <c:v>9.4753746064156992E-5</c:v>
                </c:pt>
                <c:pt idx="84">
                  <c:v>8.5079109031375877E-5</c:v>
                </c:pt>
                <c:pt idx="85">
                  <c:v>7.638559518624333E-5</c:v>
                </c:pt>
                <c:pt idx="86">
                  <c:v>6.8574595136841864E-5</c:v>
                </c:pt>
                <c:pt idx="87">
                  <c:v>6.1557291599688061E-5</c:v>
                </c:pt>
                <c:pt idx="88">
                  <c:v>5.5253703054954878E-5</c:v>
                </c:pt>
                <c:pt idx="89">
                  <c:v>4.9591818613282141E-5</c:v>
                </c:pt>
                <c:pt idx="90">
                  <c:v>4.450681569895256E-5</c:v>
                </c:pt>
                <c:pt idx="91">
                  <c:v>3.9940352883668515E-5</c:v>
                </c:pt>
                <c:pt idx="92">
                  <c:v>3.5839930877615774E-5</c:v>
                </c:pt>
                <c:pt idx="93">
                  <c:v>3.2158315303399051E-5</c:v>
                </c:pt>
                <c:pt idx="94">
                  <c:v>2.8853015447212058E-5</c:v>
                </c:pt>
                <c:pt idx="95">
                  <c:v>2.5885813703600251E-5</c:v>
                </c:pt>
                <c:pt idx="96">
                  <c:v>2.3222340908636877E-5</c:v>
                </c:pt>
                <c:pt idx="97">
                  <c:v>2.0831693194380153E-5</c:v>
                </c:pt>
                <c:pt idx="98">
                  <c:v>1.8686086398085165E-5</c:v>
                </c:pt>
                <c:pt idx="99">
                  <c:v>1.6760544425643062E-5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16-4DFF-A633-D0E4381E40A4}"/>
            </c:ext>
          </c:extLst>
        </c:ser>
        <c:ser>
          <c:idx val="1"/>
          <c:order val="1"/>
          <c:tx>
            <c:strRef>
              <c:f>'Double Black Diamond'!$H$1:$H$3</c:f>
              <c:strCache>
                <c:ptCount val="3"/>
                <c:pt idx="0">
                  <c:v>Calculated Values</c:v>
                </c:pt>
                <c:pt idx="1">
                  <c:v>Rear Spring</c:v>
                </c:pt>
                <c:pt idx="2">
                  <c:v>Overdamped</c:v>
                </c:pt>
              </c:strCache>
            </c:strRef>
          </c:tx>
          <c:spPr>
            <a:ln w="25400" cap="rnd">
              <a:noFill/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2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'Double Black Diamond'!$F$4:$F$103</c:f>
              <c:numCache>
                <c:formatCode>General</c:formatCode>
                <c:ptCount val="100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  <c:pt idx="9">
                  <c:v>0.1</c:v>
                </c:pt>
                <c:pt idx="10">
                  <c:v>0.11</c:v>
                </c:pt>
                <c:pt idx="11">
                  <c:v>0.12</c:v>
                </c:pt>
                <c:pt idx="12">
                  <c:v>0.13</c:v>
                </c:pt>
                <c:pt idx="13">
                  <c:v>0.14000000000000001</c:v>
                </c:pt>
                <c:pt idx="14">
                  <c:v>0.15</c:v>
                </c:pt>
                <c:pt idx="15">
                  <c:v>0.16</c:v>
                </c:pt>
                <c:pt idx="16">
                  <c:v>0.17</c:v>
                </c:pt>
                <c:pt idx="17">
                  <c:v>0.18</c:v>
                </c:pt>
                <c:pt idx="18">
                  <c:v>0.19</c:v>
                </c:pt>
                <c:pt idx="19">
                  <c:v>0.2</c:v>
                </c:pt>
                <c:pt idx="20">
                  <c:v>0.21</c:v>
                </c:pt>
                <c:pt idx="21">
                  <c:v>0.22</c:v>
                </c:pt>
                <c:pt idx="22">
                  <c:v>0.23</c:v>
                </c:pt>
                <c:pt idx="23">
                  <c:v>0.24</c:v>
                </c:pt>
                <c:pt idx="24">
                  <c:v>0.25</c:v>
                </c:pt>
                <c:pt idx="25">
                  <c:v>0.26</c:v>
                </c:pt>
                <c:pt idx="26">
                  <c:v>0.27</c:v>
                </c:pt>
                <c:pt idx="27">
                  <c:v>0.28000000000000003</c:v>
                </c:pt>
                <c:pt idx="28">
                  <c:v>0.28999999999999998</c:v>
                </c:pt>
                <c:pt idx="29">
                  <c:v>0.3</c:v>
                </c:pt>
                <c:pt idx="30">
                  <c:v>0.31</c:v>
                </c:pt>
                <c:pt idx="31">
                  <c:v>0.32</c:v>
                </c:pt>
                <c:pt idx="32">
                  <c:v>0.33</c:v>
                </c:pt>
                <c:pt idx="33">
                  <c:v>0.34</c:v>
                </c:pt>
                <c:pt idx="34">
                  <c:v>0.35</c:v>
                </c:pt>
                <c:pt idx="35">
                  <c:v>0.36</c:v>
                </c:pt>
                <c:pt idx="36">
                  <c:v>0.37</c:v>
                </c:pt>
                <c:pt idx="37">
                  <c:v>0.38</c:v>
                </c:pt>
                <c:pt idx="38">
                  <c:v>0.39</c:v>
                </c:pt>
                <c:pt idx="39">
                  <c:v>0.4</c:v>
                </c:pt>
                <c:pt idx="40">
                  <c:v>0.41</c:v>
                </c:pt>
                <c:pt idx="41">
                  <c:v>0.42</c:v>
                </c:pt>
                <c:pt idx="42">
                  <c:v>0.43</c:v>
                </c:pt>
                <c:pt idx="43">
                  <c:v>0.44</c:v>
                </c:pt>
                <c:pt idx="44">
                  <c:v>0.45</c:v>
                </c:pt>
                <c:pt idx="45">
                  <c:v>0.46</c:v>
                </c:pt>
                <c:pt idx="46">
                  <c:v>0.47</c:v>
                </c:pt>
                <c:pt idx="47">
                  <c:v>0.48</c:v>
                </c:pt>
                <c:pt idx="48">
                  <c:v>0.49</c:v>
                </c:pt>
                <c:pt idx="49">
                  <c:v>0.5</c:v>
                </c:pt>
                <c:pt idx="50">
                  <c:v>0.51</c:v>
                </c:pt>
                <c:pt idx="51">
                  <c:v>0.52</c:v>
                </c:pt>
                <c:pt idx="52">
                  <c:v>0.53</c:v>
                </c:pt>
                <c:pt idx="53">
                  <c:v>0.54</c:v>
                </c:pt>
                <c:pt idx="54">
                  <c:v>0.55000000000000004</c:v>
                </c:pt>
                <c:pt idx="55">
                  <c:v>0.56000000000000005</c:v>
                </c:pt>
                <c:pt idx="56">
                  <c:v>0.56999999999999995</c:v>
                </c:pt>
                <c:pt idx="57">
                  <c:v>0.57999999999999996</c:v>
                </c:pt>
                <c:pt idx="58">
                  <c:v>0.59</c:v>
                </c:pt>
                <c:pt idx="59">
                  <c:v>0.6</c:v>
                </c:pt>
                <c:pt idx="60">
                  <c:v>0.61</c:v>
                </c:pt>
                <c:pt idx="61">
                  <c:v>0.62</c:v>
                </c:pt>
                <c:pt idx="62">
                  <c:v>0.63</c:v>
                </c:pt>
                <c:pt idx="63">
                  <c:v>0.64</c:v>
                </c:pt>
                <c:pt idx="64">
                  <c:v>0.65</c:v>
                </c:pt>
                <c:pt idx="65">
                  <c:v>0.66</c:v>
                </c:pt>
                <c:pt idx="66">
                  <c:v>0.67</c:v>
                </c:pt>
                <c:pt idx="67">
                  <c:v>0.68</c:v>
                </c:pt>
                <c:pt idx="68">
                  <c:v>0.69</c:v>
                </c:pt>
                <c:pt idx="69">
                  <c:v>0.7</c:v>
                </c:pt>
                <c:pt idx="70">
                  <c:v>0.71</c:v>
                </c:pt>
                <c:pt idx="71">
                  <c:v>0.72</c:v>
                </c:pt>
                <c:pt idx="72">
                  <c:v>0.73</c:v>
                </c:pt>
                <c:pt idx="73">
                  <c:v>0.74</c:v>
                </c:pt>
                <c:pt idx="74">
                  <c:v>0.75</c:v>
                </c:pt>
                <c:pt idx="75">
                  <c:v>0.76</c:v>
                </c:pt>
                <c:pt idx="76">
                  <c:v>0.77</c:v>
                </c:pt>
                <c:pt idx="77">
                  <c:v>0.78</c:v>
                </c:pt>
                <c:pt idx="78">
                  <c:v>0.79</c:v>
                </c:pt>
                <c:pt idx="79">
                  <c:v>0.8</c:v>
                </c:pt>
                <c:pt idx="80">
                  <c:v>0.81</c:v>
                </c:pt>
                <c:pt idx="81">
                  <c:v>0.82</c:v>
                </c:pt>
                <c:pt idx="82">
                  <c:v>0.83</c:v>
                </c:pt>
                <c:pt idx="83">
                  <c:v>0.84</c:v>
                </c:pt>
                <c:pt idx="84">
                  <c:v>0.85</c:v>
                </c:pt>
                <c:pt idx="85">
                  <c:v>0.86</c:v>
                </c:pt>
                <c:pt idx="86">
                  <c:v>0.87</c:v>
                </c:pt>
                <c:pt idx="87">
                  <c:v>0.88</c:v>
                </c:pt>
                <c:pt idx="88">
                  <c:v>0.89</c:v>
                </c:pt>
                <c:pt idx="89">
                  <c:v>0.9</c:v>
                </c:pt>
                <c:pt idx="90">
                  <c:v>0.91</c:v>
                </c:pt>
                <c:pt idx="91">
                  <c:v>0.92</c:v>
                </c:pt>
                <c:pt idx="92">
                  <c:v>0.93</c:v>
                </c:pt>
                <c:pt idx="93">
                  <c:v>0.94</c:v>
                </c:pt>
                <c:pt idx="94">
                  <c:v>0.95</c:v>
                </c:pt>
                <c:pt idx="95">
                  <c:v>0.96</c:v>
                </c:pt>
                <c:pt idx="96">
                  <c:v>0.97</c:v>
                </c:pt>
                <c:pt idx="97">
                  <c:v>0.98</c:v>
                </c:pt>
                <c:pt idx="98">
                  <c:v>0.99</c:v>
                </c:pt>
                <c:pt idx="99">
                  <c:v>1</c:v>
                </c:pt>
              </c:numCache>
            </c:numRef>
          </c:xVal>
          <c:yVal>
            <c:numRef>
              <c:f>'Double Black Diamond'!$H$4:$H$103</c:f>
              <c:numCache>
                <c:formatCode>General</c:formatCode>
                <c:ptCount val="100"/>
                <c:pt idx="0">
                  <c:v>1.3699612319799459E-2</c:v>
                </c:pt>
                <c:pt idx="1">
                  <c:v>2.346070420629429E-2</c:v>
                </c:pt>
                <c:pt idx="2">
                  <c:v>3.0133498011002412E-2</c:v>
                </c:pt>
                <c:pt idx="3">
                  <c:v>3.4404876698993433E-2</c:v>
                </c:pt>
                <c:pt idx="4">
                  <c:v>3.6827836851877828E-2</c:v>
                </c:pt>
                <c:pt idx="5">
                  <c:v>3.7845837264445716E-2</c:v>
                </c:pt>
                <c:pt idx="6">
                  <c:v>3.7812904184846806E-2</c:v>
                </c:pt>
                <c:pt idx="7">
                  <c:v>3.7010211801013541E-2</c:v>
                </c:pt>
                <c:pt idx="8">
                  <c:v>3.5659737352580705E-2</c:v>
                </c:pt>
                <c:pt idx="9">
                  <c:v>3.3935490504145287E-2</c:v>
                </c:pt>
                <c:pt idx="10">
                  <c:v>3.1972733206740336E-2</c:v>
                </c:pt>
                <c:pt idx="11">
                  <c:v>2.9875536557534468E-2</c:v>
                </c:pt>
                <c:pt idx="12">
                  <c:v>2.7722962923989951E-2</c:v>
                </c:pt>
                <c:pt idx="13">
                  <c:v>2.5574112965050858E-2</c:v>
                </c:pt>
                <c:pt idx="14">
                  <c:v>2.347223659476531E-2</c:v>
                </c:pt>
                <c:pt idx="15">
                  <c:v>2.1448073081124619E-2</c:v>
                </c:pt>
                <c:pt idx="16">
                  <c:v>1.952255725436753E-2</c:v>
                </c:pt>
                <c:pt idx="17">
                  <c:v>1.7709005291812217E-2</c:v>
                </c:pt>
                <c:pt idx="18">
                  <c:v>1.6014873976971662E-2</c:v>
                </c:pt>
                <c:pt idx="19">
                  <c:v>1.4443171051178406E-2</c:v>
                </c:pt>
                <c:pt idx="20">
                  <c:v>1.2993580743329005E-2</c:v>
                </c:pt>
                <c:pt idx="21">
                  <c:v>1.1663357323133261E-2</c:v>
                </c:pt>
                <c:pt idx="22">
                  <c:v>1.0448030195003561E-2</c:v>
                </c:pt>
                <c:pt idx="23">
                  <c:v>9.3419563152011727E-3</c:v>
                </c:pt>
                <c:pt idx="24">
                  <c:v>8.3387493079483885E-3</c:v>
                </c:pt>
                <c:pt idx="25">
                  <c:v>7.4316093544921505E-3</c:v>
                </c:pt>
                <c:pt idx="26">
                  <c:v>6.6135735467489753E-3</c:v>
                </c:pt>
                <c:pt idx="27">
                  <c:v>5.877702779024099E-3</c:v>
                </c:pt>
                <c:pt idx="28">
                  <c:v>5.2172182679021276E-3</c:v>
                </c:pt>
                <c:pt idx="29">
                  <c:v>4.6255983337665767E-3</c:v>
                </c:pt>
                <c:pt idx="30">
                  <c:v>4.0966440575096194E-3</c:v>
                </c:pt>
                <c:pt idx="31">
                  <c:v>3.6245207678623137E-3</c:v>
                </c:pt>
                <c:pt idx="32">
                  <c:v>3.2037809559940624E-3</c:v>
                </c:pt>
                <c:pt idx="33">
                  <c:v>2.8293731026774026E-3</c:v>
                </c:pt>
                <c:pt idx="34">
                  <c:v>2.4966399962337658E-3</c:v>
                </c:pt>
                <c:pt idx="35">
                  <c:v>2.2013093808230483E-3</c:v>
                </c:pt>
                <c:pt idx="36">
                  <c:v>1.9394791746697338E-3</c:v>
                </c:pt>
                <c:pt idx="37">
                  <c:v>1.7075990118690916E-3</c:v>
                </c:pt>
                <c:pt idx="38">
                  <c:v>1.50244946906202E-3</c:v>
                </c:pt>
                <c:pt idx="39">
                  <c:v>1.3211200226040025E-3</c:v>
                </c:pt>
                <c:pt idx="40">
                  <c:v>1.1609865289127837E-3</c:v>
                </c:pt>
                <c:pt idx="41">
                  <c:v>1.0196888189278805E-3</c:v>
                </c:pt>
                <c:pt idx="42">
                  <c:v>8.9510883754440192E-4</c:v>
                </c:pt>
                <c:pt idx="43">
                  <c:v>7.8534963266486046E-4</c:v>
                </c:pt>
                <c:pt idx="44">
                  <c:v>6.887153997095169E-4</c:v>
                </c:pt>
                <c:pt idx="45">
                  <c:v>6.0369271075515858E-4</c:v>
                </c:pt>
                <c:pt idx="46">
                  <c:v>5.2893299860563728E-4</c:v>
                </c:pt>
                <c:pt idx="47">
                  <c:v>4.6323632149494542E-4</c:v>
                </c:pt>
                <c:pt idx="48">
                  <c:v>4.0553640089644827E-4</c:v>
                </c:pt>
                <c:pt idx="49">
                  <c:v>3.5488690070804445E-4</c:v>
                </c:pt>
                <c:pt idx="50">
                  <c:v>3.1044889899257066E-4</c:v>
                </c:pt>
                <c:pt idx="51">
                  <c:v>2.714794919289683E-4</c:v>
                </c:pt>
                <c:pt idx="52">
                  <c:v>2.3732146242411568E-4</c:v>
                </c:pt>
                <c:pt idx="53">
                  <c:v>2.0739394194363453E-4</c:v>
                </c:pt>
                <c:pt idx="54">
                  <c:v>1.8118399273801028E-4</c:v>
                </c:pt>
                <c:pt idx="55">
                  <c:v>1.5823903812664449E-4</c:v>
                </c:pt>
                <c:pt idx="56">
                  <c:v>1.3816007034834235E-4</c:v>
                </c:pt>
                <c:pt idx="57">
                  <c:v>1.2059556829133763E-4</c:v>
                </c:pt>
                <c:pt idx="58">
                  <c:v>1.05236060865648E-4</c:v>
                </c:pt>
                <c:pt idx="59">
                  <c:v>9.1809275632116918E-5</c:v>
                </c:pt>
                <c:pt idx="60">
                  <c:v>8.0075816369397818E-5</c:v>
                </c:pt>
                <c:pt idx="61">
                  <c:v>6.9825317401136695E-5</c:v>
                </c:pt>
                <c:pt idx="62">
                  <c:v>6.0873026615688628E-5</c:v>
                </c:pt>
                <c:pt idx="63">
                  <c:v>5.3056773113482678E-5</c:v>
                </c:pt>
                <c:pt idx="64">
                  <c:v>4.6234279258855777E-5</c:v>
                </c:pt>
                <c:pt idx="65">
                  <c:v>4.0280780557697349E-5</c:v>
                </c:pt>
                <c:pt idx="66">
                  <c:v>3.5086920207176459E-5</c:v>
                </c:pt>
                <c:pt idx="67">
                  <c:v>3.0556888357250775E-5</c:v>
                </c:pt>
                <c:pt idx="68">
                  <c:v>2.6606779081621548E-5</c:v>
                </c:pt>
                <c:pt idx="69">
                  <c:v>2.316314078024104E-5</c:v>
                </c:pt>
                <c:pt idx="70">
                  <c:v>2.0161698232633626E-5</c:v>
                </c:pt>
                <c:pt idx="71">
                  <c:v>1.7546226800404535E-5</c:v>
                </c:pt>
                <c:pt idx="72">
                  <c:v>1.5267561349653828E-5</c:v>
                </c:pt>
                <c:pt idx="73">
                  <c:v>1.3282724342104134E-5</c:v>
                </c:pt>
                <c:pt idx="74">
                  <c:v>1.1554159240767055E-5</c:v>
                </c:pt>
                <c:pt idx="75">
                  <c:v>1.0049056905303535E-5</c:v>
                </c:pt>
                <c:pt idx="76">
                  <c:v>8.7387640271455831E-6</c:v>
                </c:pt>
                <c:pt idx="77">
                  <c:v>7.5982638878449269E-6</c:v>
                </c:pt>
                <c:pt idx="78">
                  <c:v>6.6057208283762705E-6</c:v>
                </c:pt>
                <c:pt idx="79">
                  <c:v>5.7420808039764507E-6</c:v>
                </c:pt>
                <c:pt idx="80">
                  <c:v>4.990721279565808E-6</c:v>
                </c:pt>
                <c:pt idx="81">
                  <c:v>4.3371445051402436E-6</c:v>
                </c:pt>
                <c:pt idx="82">
                  <c:v>3.7687089082484103E-6</c:v>
                </c:pt>
                <c:pt idx="83">
                  <c:v>3.274393960530454E-6</c:v>
                </c:pt>
                <c:pt idx="84">
                  <c:v>2.8445944253115962E-6</c:v>
                </c:pt>
                <c:pt idx="85">
                  <c:v>2.4709403807336731E-6</c:v>
                </c:pt>
                <c:pt idx="86">
                  <c:v>2.1461398445210686E-6</c:v>
                </c:pt>
                <c:pt idx="87">
                  <c:v>1.8638412082417127E-6</c:v>
                </c:pt>
                <c:pt idx="88">
                  <c:v>1.6185130262832214E-6</c:v>
                </c:pt>
                <c:pt idx="89">
                  <c:v>1.4053390026244635E-6</c:v>
                </c:pt>
                <c:pt idx="90">
                  <c:v>1.2201262812535971E-6</c:v>
                </c:pt>
                <c:pt idx="91">
                  <c:v>1.0592253777199287E-6</c:v>
                </c:pt>
                <c:pt idx="92">
                  <c:v>9.1946029334941529E-7</c:v>
                </c:pt>
                <c:pt idx="93">
                  <c:v>7.9806753326600116E-7</c:v>
                </c:pt>
                <c:pt idx="94">
                  <c:v>6.9264290736548608E-7</c:v>
                </c:pt>
                <c:pt idx="95">
                  <c:v>6.0109513229930669E-7</c:v>
                </c:pt>
                <c:pt idx="96">
                  <c:v>5.216053745784257E-7</c:v>
                </c:pt>
                <c:pt idx="97">
                  <c:v>4.5259198208899468E-7</c:v>
                </c:pt>
                <c:pt idx="98">
                  <c:v>3.9267974538383787E-7</c:v>
                </c:pt>
                <c:pt idx="99">
                  <c:v>3.4067311263910383E-7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16-4DFF-A633-D0E4381E40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8916440"/>
        <c:axId val="798914472"/>
      </c:scatterChart>
      <c:valAx>
        <c:axId val="798916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8914472"/>
        <c:crosses val="autoZero"/>
        <c:crossBetween val="midCat"/>
      </c:valAx>
      <c:valAx>
        <c:axId val="798914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Shock Displacement (m)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89164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48">
  <cs:axisTitle>
    <cs:lnRef idx="0"/>
    <cs:fillRef idx="0"/>
    <cs:effectRef idx="0"/>
    <cs:fontRef idx="minor">
      <a:schemeClr val="lt1">
        <a:lumMod val="7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391887</xdr:colOff>
      <xdr:row>2</xdr:row>
      <xdr:rowOff>83547</xdr:rowOff>
    </xdr:from>
    <xdr:to>
      <xdr:col>18</xdr:col>
      <xdr:colOff>327661</xdr:colOff>
      <xdr:row>28</xdr:row>
      <xdr:rowOff>179070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4BED91B-081E-417C-929F-013C839661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4</xdr:row>
      <xdr:rowOff>57150</xdr:rowOff>
    </xdr:from>
    <xdr:to>
      <xdr:col>17</xdr:col>
      <xdr:colOff>561975</xdr:colOff>
      <xdr:row>29</xdr:row>
      <xdr:rowOff>180975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FA4EC48-F12B-4BB0-B29A-0A9213D505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</xdr:colOff>
      <xdr:row>5</xdr:row>
      <xdr:rowOff>19050</xdr:rowOff>
    </xdr:from>
    <xdr:to>
      <xdr:col>17</xdr:col>
      <xdr:colOff>542925</xdr:colOff>
      <xdr:row>29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1D7BD58-F862-4BE2-A9D6-78DE17F279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5</xdr:row>
      <xdr:rowOff>9525</xdr:rowOff>
    </xdr:from>
    <xdr:to>
      <xdr:col>18</xdr:col>
      <xdr:colOff>238125</xdr:colOff>
      <xdr:row>29</xdr:row>
      <xdr:rowOff>123825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577086A-E548-4F4F-9A86-4DA6D37CD51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5624</xdr:colOff>
      <xdr:row>5</xdr:row>
      <xdr:rowOff>10342</xdr:rowOff>
    </xdr:from>
    <xdr:to>
      <xdr:col>17</xdr:col>
      <xdr:colOff>459014</xdr:colOff>
      <xdr:row>31</xdr:row>
      <xdr:rowOff>114300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32393D7-374A-4F77-BCE2-31045C9665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4718</xdr:colOff>
      <xdr:row>5</xdr:row>
      <xdr:rowOff>12700</xdr:rowOff>
    </xdr:from>
    <xdr:to>
      <xdr:col>18</xdr:col>
      <xdr:colOff>47171</xdr:colOff>
      <xdr:row>31</xdr:row>
      <xdr:rowOff>165100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663F699-2CB4-43B4-B4E7-533FE1B449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2EBFC-C596-4E33-B18C-B5CB4895567C}">
  <sheetPr codeName="Sheet1"/>
  <dimension ref="A1:H103"/>
  <sheetViews>
    <sheetView workbookViewId="0">
      <selection activeCell="H3" sqref="H3"/>
    </sheetView>
  </sheetViews>
  <sheetFormatPr defaultColWidth="8.85546875" defaultRowHeight="15"/>
  <cols>
    <col min="1" max="1" width="20.85546875" customWidth="1"/>
    <col min="3" max="3" width="10.7109375" customWidth="1"/>
    <col min="7" max="7" width="13.140625" customWidth="1"/>
    <col min="8" max="8" width="15.140625" customWidth="1"/>
    <col min="9" max="9" width="14.42578125" customWidth="1"/>
  </cols>
  <sheetData>
    <row r="1" spans="1:8">
      <c r="F1" s="51" t="s">
        <v>0</v>
      </c>
      <c r="G1" s="52"/>
      <c r="H1" s="52"/>
    </row>
    <row r="2" spans="1:8">
      <c r="A2" s="2" t="s">
        <v>1</v>
      </c>
      <c r="B2" s="3"/>
      <c r="C2" s="3"/>
      <c r="D2" s="3"/>
      <c r="G2" t="s">
        <v>2</v>
      </c>
      <c r="H2" t="s">
        <v>3</v>
      </c>
    </row>
    <row r="3" spans="1:8">
      <c r="A3" s="3" t="s">
        <v>4</v>
      </c>
      <c r="B3" s="3" t="s">
        <v>5</v>
      </c>
      <c r="C3" s="1">
        <v>14.06</v>
      </c>
      <c r="D3" s="3" t="s">
        <v>6</v>
      </c>
      <c r="F3" s="5" t="s">
        <v>7</v>
      </c>
      <c r="G3" s="6" t="str">
        <f>IF(psiF&gt;1, "Overdamped",IF(psiF&lt;1,"Underdamped","Critically Damped"))</f>
        <v>Underdamped</v>
      </c>
      <c r="H3" s="6" t="str">
        <f>IF(psiR&gt;1, "Overdamped",IF(psiR&lt;1,"Underdamped","Critically Damped"))</f>
        <v>Overdamped</v>
      </c>
    </row>
    <row r="4" spans="1:8">
      <c r="A4" s="3" t="s">
        <v>8</v>
      </c>
      <c r="B4" s="3" t="s">
        <v>9</v>
      </c>
      <c r="C4" s="15">
        <f>'Shock Setup'!B2</f>
        <v>95</v>
      </c>
      <c r="D4" s="3" t="s">
        <v>6</v>
      </c>
      <c r="F4">
        <v>0.01</v>
      </c>
      <c r="G4" s="8">
        <f t="shared" ref="G4:G35" si="0">IF($G$3="Overdamped",EXP(-psiF*Fwn*F4)*(((v0+(psiF*Fwn+Fwd)*x0f)/2*Fwd)*EXP(Fwd*F4)-((v0+(psiF*Fwn-Fwd)*x0f)/2*Fwd)*EXP(-Fwd*F4)),IF($G$3="Underdamped",EXP(-psiF*Fwn*F4)*(x0f*COS(Fwd*F4)+((v0+psiF*Fwn*x0f)/Fwd)*SIN(Fwd*F4)),(x0f+(v0+Fwn*x0f)*F4)*EXP(-Fwn*F4)))</f>
        <v>4.8848788325935685E-2</v>
      </c>
      <c r="H4" s="8">
        <f t="shared" ref="H4:H35" si="1">IF($G$4="Overdamped",EXP(psiR*Rwn*F4)*(((v0r+(psiR*Rwn+Rwd)*x0r)/2*Rwd)*EXP(Rwd*F4)-((v0r+(psiR*Rwn-Rwd)*x0r)/2*Rwd)*EXP(-Rwd*F4)),IF($G$4="Underdamped",EXP(psiR*Rwn*F4)*(x0r*COS(Rwd*F4)+((v0r+psiR*Rwn*x0r)/Rwd)*SIN(Rwd*F4)),(x0r+(v0r+Rwn*x0r)*F4)*EXP(-Rwn*F4)))</f>
        <v>2.1534773329879311E-2</v>
      </c>
    </row>
    <row r="5" spans="1:8">
      <c r="A5" s="3" t="s">
        <v>10</v>
      </c>
      <c r="B5" s="3" t="s">
        <v>11</v>
      </c>
      <c r="C5" s="15">
        <f>C3+C4</f>
        <v>109.06</v>
      </c>
      <c r="D5" s="3" t="s">
        <v>6</v>
      </c>
      <c r="F5">
        <v>0.02</v>
      </c>
      <c r="G5" s="8">
        <f t="shared" si="0"/>
        <v>6.0539271831152798E-2</v>
      </c>
      <c r="H5" s="8">
        <f t="shared" si="1"/>
        <v>2.5704900384443317E-2</v>
      </c>
    </row>
    <row r="6" spans="1:8">
      <c r="A6" s="3" t="s">
        <v>12</v>
      </c>
      <c r="B6" s="3" t="s">
        <v>13</v>
      </c>
      <c r="C6" s="15">
        <f>IF(C25="Ascending",('Shock Setup'!B2+bm)*VLOOKUP(C26,'Weight Bias'!A11:K15,8,FALSE), ('Shock Setup'!B2+bm)*VLOOKUP(C26,'Weight Bias'!A3:K7,8,FALSE))</f>
        <v>49.476000001595999</v>
      </c>
      <c r="D6" s="3" t="s">
        <v>6</v>
      </c>
      <c r="F6">
        <v>0.03</v>
      </c>
      <c r="G6" s="8">
        <f t="shared" si="0"/>
        <v>7.027692389435429E-2</v>
      </c>
      <c r="H6" s="8">
        <f t="shared" si="1"/>
        <v>2.8738729989234255E-2</v>
      </c>
    </row>
    <row r="7" spans="1:8">
      <c r="A7" s="3" t="s">
        <v>14</v>
      </c>
      <c r="B7" s="3" t="s">
        <v>15</v>
      </c>
      <c r="C7" s="15">
        <f>IF(C25="Ascending",('Shock Setup'!B2+bm)*VLOOKUP(C26,'Weight Bias'!A11:K15,9,FALSE),( 'Shock Setup'!B2+bm)*VLOOKUP(C26,'Weight Bias'!A3:K7,9,FALSE))</f>
        <v>59.583999998404003</v>
      </c>
      <c r="D7" s="3" t="s">
        <v>6</v>
      </c>
      <c r="F7">
        <v>0.04</v>
      </c>
      <c r="G7" s="8">
        <f t="shared" si="0"/>
        <v>7.8253351684139771E-2</v>
      </c>
      <c r="H7" s="8">
        <f t="shared" si="1"/>
        <v>3.0831402069037193E-2</v>
      </c>
    </row>
    <row r="8" spans="1:8">
      <c r="A8" s="3" t="s">
        <v>16</v>
      </c>
      <c r="B8" s="3" t="s">
        <v>17</v>
      </c>
      <c r="C8" s="1">
        <v>3600</v>
      </c>
      <c r="D8" s="3" t="s">
        <v>18</v>
      </c>
      <c r="F8">
        <v>0.05</v>
      </c>
      <c r="G8" s="8">
        <f t="shared" si="0"/>
        <v>8.4646826266137509E-2</v>
      </c>
      <c r="H8" s="8">
        <f t="shared" si="1"/>
        <v>3.2149336368743987E-2</v>
      </c>
    </row>
    <row r="9" spans="1:8">
      <c r="A9" s="3" t="s">
        <v>19</v>
      </c>
      <c r="B9" s="3" t="s">
        <v>20</v>
      </c>
      <c r="C9" s="1">
        <v>7600</v>
      </c>
      <c r="D9" s="3" t="s">
        <v>18</v>
      </c>
      <c r="F9">
        <v>0.06</v>
      </c>
      <c r="G9" s="8">
        <f t="shared" si="0"/>
        <v>8.9622833203320817E-2</v>
      </c>
      <c r="H9" s="8">
        <f t="shared" si="1"/>
        <v>3.2834141182686891E-2</v>
      </c>
    </row>
    <row r="10" spans="1:8">
      <c r="A10" s="3" t="s">
        <v>21</v>
      </c>
      <c r="B10" s="4" t="s">
        <v>22</v>
      </c>
      <c r="C10" s="1">
        <v>700</v>
      </c>
      <c r="D10" s="3" t="s">
        <v>23</v>
      </c>
      <c r="F10">
        <v>7.0000000000000007E-2</v>
      </c>
      <c r="G10" s="8">
        <f t="shared" si="0"/>
        <v>9.3334637212307656E-2</v>
      </c>
      <c r="H10" s="8">
        <f t="shared" si="1"/>
        <v>3.300601477807856E-2</v>
      </c>
    </row>
    <row r="11" spans="1:8">
      <c r="A11" s="3" t="s">
        <v>24</v>
      </c>
      <c r="B11" s="4" t="s">
        <v>25</v>
      </c>
      <c r="C11" s="1">
        <v>1350</v>
      </c>
      <c r="D11" s="3" t="s">
        <v>23</v>
      </c>
      <c r="F11">
        <v>0.08</v>
      </c>
      <c r="G11" s="8">
        <f t="shared" si="0"/>
        <v>9.5923855192388732E-2</v>
      </c>
      <c r="H11" s="8">
        <f t="shared" si="1"/>
        <v>3.2766703288185269E-2</v>
      </c>
    </row>
    <row r="12" spans="1:8">
      <c r="A12" s="3" t="s">
        <v>26</v>
      </c>
      <c r="B12" s="4" t="s">
        <v>27</v>
      </c>
      <c r="C12" s="7">
        <f>C10/(2*SQRT(C6*C8))</f>
        <v>0.82931496735293186</v>
      </c>
      <c r="D12" s="3" t="s">
        <v>28</v>
      </c>
      <c r="F12">
        <v>0.09</v>
      </c>
      <c r="G12" s="8">
        <f t="shared" si="0"/>
        <v>9.7521032637047311E-2</v>
      </c>
      <c r="H12" s="8">
        <f t="shared" si="1"/>
        <v>3.2202071014947348E-2</v>
      </c>
    </row>
    <row r="13" spans="1:8">
      <c r="A13" s="3" t="s">
        <v>29</v>
      </c>
      <c r="B13" s="4" t="s">
        <v>30</v>
      </c>
      <c r="C13" s="7">
        <f>lambdaR/(2*SQRT(mr*kR))</f>
        <v>1.0030720961664679</v>
      </c>
      <c r="D13" s="3" t="s">
        <v>28</v>
      </c>
      <c r="F13">
        <v>0.1</v>
      </c>
      <c r="G13" s="8">
        <f t="shared" si="0"/>
        <v>9.824621907315767E-2</v>
      </c>
      <c r="H13" s="8">
        <f t="shared" si="1"/>
        <v>3.1384332191146065E-2</v>
      </c>
    </row>
    <row r="14" spans="1:8">
      <c r="A14" s="3" t="s">
        <v>31</v>
      </c>
      <c r="B14" s="4" t="s">
        <v>32</v>
      </c>
      <c r="C14" s="7">
        <f>SQRT(kF/mf)</f>
        <v>8.5300968070587277</v>
      </c>
      <c r="D14" s="3" t="s">
        <v>33</v>
      </c>
      <c r="F14">
        <v>0.11</v>
      </c>
      <c r="G14" s="8">
        <f t="shared" si="0"/>
        <v>9.8209538754172571E-2</v>
      </c>
      <c r="H14" s="8">
        <f t="shared" si="1"/>
        <v>3.0373987196152013E-2</v>
      </c>
    </row>
    <row r="15" spans="1:8">
      <c r="A15" s="3" t="s">
        <v>34</v>
      </c>
      <c r="B15" s="4" t="s">
        <v>35</v>
      </c>
      <c r="C15" s="7">
        <f>SQRT(kR/mr)</f>
        <v>11.293848786466897</v>
      </c>
      <c r="D15" s="3" t="s">
        <v>33</v>
      </c>
      <c r="F15">
        <v>0.12</v>
      </c>
      <c r="G15" s="8">
        <f t="shared" si="0"/>
        <v>9.7511753363655224E-2</v>
      </c>
      <c r="H15" s="8">
        <f t="shared" si="1"/>
        <v>2.9221500897314172E-2</v>
      </c>
    </row>
    <row r="16" spans="1:8">
      <c r="A16" s="3" t="s">
        <v>36</v>
      </c>
      <c r="B16" s="3" t="s">
        <v>37</v>
      </c>
      <c r="C16" s="1">
        <v>1.5</v>
      </c>
      <c r="D16" s="3" t="s">
        <v>38</v>
      </c>
      <c r="F16">
        <v>0.13</v>
      </c>
      <c r="G16" s="8">
        <f t="shared" si="0"/>
        <v>9.6244813967619608E-2</v>
      </c>
      <c r="H16" s="8">
        <f t="shared" si="1"/>
        <v>2.796875611343896E-2</v>
      </c>
    </row>
    <row r="17" spans="1:8">
      <c r="A17" s="3" t="s">
        <v>39</v>
      </c>
      <c r="B17" s="3" t="s">
        <v>40</v>
      </c>
      <c r="C17" s="1">
        <v>3.5000000000000003E-2</v>
      </c>
      <c r="D17" s="3" t="s">
        <v>11</v>
      </c>
      <c r="F17">
        <v>0.14000000000000001</v>
      </c>
      <c r="G17" s="8">
        <f t="shared" si="0"/>
        <v>9.4492399891376047E-2</v>
      </c>
      <c r="H17" s="8">
        <f t="shared" si="1"/>
        <v>2.6650311090204867E-2</v>
      </c>
    </row>
    <row r="18" spans="1:8">
      <c r="A18" s="3" t="s">
        <v>41</v>
      </c>
      <c r="B18" s="3" t="s">
        <v>42</v>
      </c>
      <c r="C18" s="1">
        <v>1.6E-2</v>
      </c>
      <c r="D18" s="3" t="s">
        <v>11</v>
      </c>
      <c r="E18" s="12">
        <v>0.28999999999999998</v>
      </c>
      <c r="F18">
        <v>0.15</v>
      </c>
      <c r="G18" s="8">
        <f t="shared" si="0"/>
        <v>9.2330442591885623E-2</v>
      </c>
      <c r="H18" s="8">
        <f t="shared" si="1"/>
        <v>2.529448627155341E-2</v>
      </c>
    </row>
    <row r="19" spans="1:8">
      <c r="A19" s="9" t="s">
        <v>43</v>
      </c>
      <c r="B19" s="9" t="s">
        <v>44</v>
      </c>
      <c r="C19" s="10">
        <f>v0/LR</f>
        <v>0.63025210084033612</v>
      </c>
      <c r="D19" s="9" t="s">
        <v>38</v>
      </c>
      <c r="F19">
        <v>0.16</v>
      </c>
      <c r="G19" s="8">
        <f t="shared" si="0"/>
        <v>8.9827632952863362E-2</v>
      </c>
      <c r="H19" s="8">
        <f t="shared" si="1"/>
        <v>2.3924302485961495E-2</v>
      </c>
    </row>
    <row r="20" spans="1:8">
      <c r="A20" s="3" t="s">
        <v>45</v>
      </c>
      <c r="B20" s="3" t="s">
        <v>46</v>
      </c>
      <c r="C20" s="7">
        <f>IF(psiF&gt;1,Fwn*SQRT(psiF^2-1),IF(psiF&lt;1,Fwn*SQRT(1-psiF^2),1))</f>
        <v>4.7664596797625229</v>
      </c>
      <c r="D20" s="3" t="s">
        <v>33</v>
      </c>
      <c r="F20">
        <v>0.17</v>
      </c>
      <c r="G20" s="8">
        <f t="shared" si="0"/>
        <v>8.7045910749771041E-2</v>
      </c>
      <c r="H20" s="8">
        <f t="shared" si="1"/>
        <v>2.2558289889036954E-2</v>
      </c>
    </row>
    <row r="21" spans="1:8">
      <c r="A21" s="3" t="s">
        <v>47</v>
      </c>
      <c r="B21" s="3" t="s">
        <v>48</v>
      </c>
      <c r="C21" s="7">
        <f>IF(psiR&gt;1,Rwn*SQRT(psiR^2-1),IF(psiR&lt;1,Rwn*SQRT(1-psiR^2),1))</f>
        <v>0.88594683784314254</v>
      </c>
      <c r="D21" s="3" t="s">
        <v>33</v>
      </c>
      <c r="F21">
        <v>0.18</v>
      </c>
      <c r="G21" s="8">
        <f t="shared" si="0"/>
        <v>8.4040935318034138E-2</v>
      </c>
      <c r="H21" s="8">
        <f t="shared" si="1"/>
        <v>2.1211184567383353E-2</v>
      </c>
    </row>
    <row r="22" spans="1:8">
      <c r="A22" s="3" t="s">
        <v>49</v>
      </c>
      <c r="B22" s="3" t="s">
        <v>50</v>
      </c>
      <c r="C22" s="1">
        <v>0.15</v>
      </c>
      <c r="D22" s="3" t="s">
        <v>11</v>
      </c>
      <c r="F22">
        <v>0.19</v>
      </c>
      <c r="G22" s="8">
        <f t="shared" si="0"/>
        <v>8.0862536712807243E-2</v>
      </c>
      <c r="H22" s="8">
        <f t="shared" si="1"/>
        <v>1.9894527572002961E-2</v>
      </c>
    </row>
    <row r="23" spans="1:8">
      <c r="A23" s="3" t="s">
        <v>51</v>
      </c>
      <c r="B23" s="3" t="s">
        <v>52</v>
      </c>
      <c r="C23" s="1">
        <v>6.3E-2</v>
      </c>
      <c r="D23" s="3" t="s">
        <v>11</v>
      </c>
      <c r="F23">
        <v>0.2</v>
      </c>
      <c r="G23" s="8">
        <f t="shared" si="0"/>
        <v>7.7555146874787373E-2</v>
      </c>
      <c r="H23" s="8">
        <f t="shared" si="1"/>
        <v>1.8617179276398051E-2</v>
      </c>
    </row>
    <row r="24" spans="1:8">
      <c r="A24" s="3" t="s">
        <v>53</v>
      </c>
      <c r="B24" s="3" t="s">
        <v>54</v>
      </c>
      <c r="C24" s="1">
        <v>2.38</v>
      </c>
      <c r="D24" s="3" t="s">
        <v>55</v>
      </c>
      <c r="F24">
        <v>0.21</v>
      </c>
      <c r="G24" s="8">
        <f t="shared" si="0"/>
        <v>7.4158210516202611E-2</v>
      </c>
      <c r="H24" s="8">
        <f t="shared" si="1"/>
        <v>1.7385760313064165E-2</v>
      </c>
    </row>
    <row r="25" spans="1:8">
      <c r="A25" s="3" t="s">
        <v>56</v>
      </c>
      <c r="B25" s="3" t="s">
        <v>57</v>
      </c>
      <c r="C25" s="1" t="s">
        <v>58</v>
      </c>
      <c r="D25" s="3" t="s">
        <v>55</v>
      </c>
      <c r="F25">
        <v>0.22</v>
      </c>
      <c r="G25" s="8">
        <f t="shared" si="0"/>
        <v>7.0706575616333672E-2</v>
      </c>
      <c r="H25" s="8">
        <f t="shared" si="1"/>
        <v>1.6205028904131946E-2</v>
      </c>
    </row>
    <row r="26" spans="1:8">
      <c r="A26" s="3" t="s">
        <v>59</v>
      </c>
      <c r="B26" s="3" t="s">
        <v>60</v>
      </c>
      <c r="C26" s="16" t="s">
        <v>61</v>
      </c>
      <c r="D26" s="3"/>
      <c r="F26">
        <v>0.23</v>
      </c>
      <c r="G26" s="8">
        <f t="shared" si="0"/>
        <v>6.7230863568786797E-2</v>
      </c>
      <c r="H26" s="8">
        <f t="shared" si="1"/>
        <v>1.5078203142754727E-2</v>
      </c>
    </row>
    <row r="27" spans="1:8">
      <c r="A27" s="3" t="s">
        <v>62</v>
      </c>
      <c r="B27" s="3" t="s">
        <v>63</v>
      </c>
      <c r="C27" s="15">
        <f>IF(C25="Ascending",VLOOKUP(C26,'Weight Bias'!A11:K15,6,FALSE), VLOOKUP(C26,'Weight Bias'!A3:K7,6,FALSE))</f>
        <v>45.365853659999999</v>
      </c>
      <c r="D27" s="3" t="s">
        <v>64</v>
      </c>
      <c r="F27">
        <v>0.24</v>
      </c>
      <c r="G27" s="8">
        <f t="shared" si="0"/>
        <v>6.3757819155146001E-2</v>
      </c>
      <c r="H27" s="8">
        <f t="shared" si="1"/>
        <v>1.40072356796736E-2</v>
      </c>
    </row>
    <row r="28" spans="1:8">
      <c r="A28" s="3" t="s">
        <v>65</v>
      </c>
      <c r="B28" s="3" t="s">
        <v>66</v>
      </c>
      <c r="C28" s="15">
        <f>IF(C25="Ascending",VLOOKUP(C26,'Weight Bias'!A11:K15,7,FALSE), VLOOKUP(C26,'Weight Bias'!A3:K7,7,FALSE))</f>
        <v>54.634146340000001</v>
      </c>
      <c r="D28" s="3" t="s">
        <v>64</v>
      </c>
      <c r="F28">
        <v>0.25</v>
      </c>
      <c r="G28" s="8">
        <f t="shared" si="0"/>
        <v>6.0310640633387091E-2</v>
      </c>
      <c r="H28" s="8">
        <f t="shared" si="1"/>
        <v>1.2993047305047505E-2</v>
      </c>
    </row>
    <row r="29" spans="1:8">
      <c r="F29">
        <v>0.26</v>
      </c>
      <c r="G29" s="8">
        <f t="shared" si="0"/>
        <v>5.6909290326230447E-2</v>
      </c>
      <c r="H29" s="8">
        <f t="shared" si="1"/>
        <v>1.2035725072247051E-2</v>
      </c>
    </row>
    <row r="30" spans="1:8">
      <c r="F30">
        <v>0.27</v>
      </c>
      <c r="G30" s="8">
        <f t="shared" si="0"/>
        <v>5.3570786176017821E-2</v>
      </c>
      <c r="H30" s="8">
        <f t="shared" si="1"/>
        <v>1.1134689873040426E-2</v>
      </c>
    </row>
    <row r="31" spans="1:8">
      <c r="F31">
        <v>0.28000000000000003</v>
      </c>
      <c r="G31" s="8">
        <f t="shared" si="0"/>
        <v>5.0309474800206873E-2</v>
      </c>
      <c r="H31" s="8">
        <f t="shared" si="1"/>
        <v>1.0288837729401309E-2</v>
      </c>
    </row>
    <row r="32" spans="1:8">
      <c r="F32">
        <v>0.28999999999999998</v>
      </c>
      <c r="G32" s="8">
        <f t="shared" si="0"/>
        <v>4.713728663655542E-2</v>
      </c>
      <c r="H32" s="8">
        <f t="shared" si="1"/>
        <v>9.4966585045715406E-3</v>
      </c>
    </row>
    <row r="33" spans="6:8">
      <c r="F33">
        <v>0.3</v>
      </c>
      <c r="G33" s="8">
        <f t="shared" si="0"/>
        <v>4.406397381079763E-2</v>
      </c>
      <c r="H33" s="8">
        <f t="shared" si="1"/>
        <v>8.7563352449336381E-3</v>
      </c>
    </row>
    <row r="34" spans="6:8">
      <c r="F34">
        <v>0.31</v>
      </c>
      <c r="G34" s="8">
        <f t="shared" si="0"/>
        <v>4.1097331393286106E-2</v>
      </c>
      <c r="H34" s="8">
        <f t="shared" si="1"/>
        <v>8.0658269358302587E-3</v>
      </c>
    </row>
    <row r="35" spans="6:8">
      <c r="F35">
        <v>0.32</v>
      </c>
      <c r="G35" s="8">
        <f t="shared" si="0"/>
        <v>3.8243402735782278E-2</v>
      </c>
      <c r="H35" s="8">
        <f t="shared" si="1"/>
        <v>7.4229370809273422E-3</v>
      </c>
    </row>
    <row r="36" spans="6:8">
      <c r="F36">
        <v>0.33</v>
      </c>
      <c r="G36" s="8">
        <f t="shared" ref="G36:G67" si="2">IF($G$3="Overdamped",EXP(-psiF*Fwn*F36)*(((v0+(psiF*Fwn+Fwd)*x0f)/2*Fwd)*EXP(Fwd*F36)-((v0+(psiF*Fwn-Fwd)*x0f)/2*Fwd)*EXP(-Fwd*F36)),IF($G$3="Underdamped",EXP(-psiF*Fwn*F36)*(x0f*COS(Fwd*F36)+((v0+psiF*Fwn*x0f)/Fwd)*SIN(Fwd*F36)),(x0f+(v0+Fwn*x0f)*F36)*EXP(-Fwn*F36)))</f>
        <v>3.5506669596340489E-2</v>
      </c>
      <c r="H36" s="8">
        <f t="shared" ref="H36:H67" si="3">IF($G$4="Overdamped",EXP(psiR*Rwn*F36)*(((v0r+(psiR*Rwn+Rwd)*x0r)/2*Rwd)*EXP(Rwd*F36)-((v0r+(psiR*Rwn-Rwd)*x0r)/2*Rwd)*EXP(-Rwd*F36)),IF($G$4="Underdamped",EXP(psiR*Rwn*F36)*(x0r*COS(Rwd*F36)+((v0r+psiR*Rwn*x0r)/Rwd)*SIN(Rwd*F36)),(x0r+(v0r+Rwn*x0r)*F36)*EXP(-Rwn*F36)))</f>
        <v>6.8253701892195557E-3</v>
      </c>
    </row>
    <row r="37" spans="6:8">
      <c r="F37">
        <v>0.34</v>
      </c>
      <c r="G37" s="8">
        <f t="shared" si="2"/>
        <v>3.2890227769981226E-2</v>
      </c>
      <c r="H37" s="8">
        <f t="shared" si="3"/>
        <v>6.2707779703194168E-3</v>
      </c>
    </row>
    <row r="38" spans="6:8">
      <c r="F38">
        <v>0.35</v>
      </c>
      <c r="G38" s="8">
        <f t="shared" si="2"/>
        <v>3.0395948946447416E-2</v>
      </c>
      <c r="H38" s="8">
        <f t="shared" si="3"/>
        <v>5.7567967919887747E-3</v>
      </c>
    </row>
    <row r="39" spans="6:8">
      <c r="F39">
        <v>0.36</v>
      </c>
      <c r="G39" s="8">
        <f t="shared" si="2"/>
        <v>2.8024629514568519E-2</v>
      </c>
      <c r="H39" s="8">
        <f t="shared" si="3"/>
        <v>5.2810777393404069E-3</v>
      </c>
    </row>
    <row r="40" spans="6:8">
      <c r="F40">
        <v>0.37</v>
      </c>
      <c r="G40" s="8">
        <f t="shared" si="2"/>
        <v>2.5776127026344648E-2</v>
      </c>
      <c r="H40" s="8">
        <f t="shared" si="3"/>
        <v>4.8413104287054086E-3</v>
      </c>
    </row>
    <row r="41" spans="6:8">
      <c r="F41">
        <v>0.38</v>
      </c>
      <c r="G41" s="8">
        <f t="shared" si="2"/>
        <v>2.3649485023458761E-2</v>
      </c>
      <c r="H41" s="8">
        <f t="shared" si="3"/>
        <v>4.4352415672732444E-3</v>
      </c>
    </row>
    <row r="42" spans="6:8">
      <c r="F42">
        <v>0.39</v>
      </c>
      <c r="G42" s="8">
        <f t="shared" si="2"/>
        <v>2.1643046915130075E-2</v>
      </c>
      <c r="H42" s="8">
        <f t="shared" si="3"/>
        <v>4.0606891091503972E-3</v>
      </c>
    </row>
    <row r="43" spans="6:8">
      <c r="F43">
        <v>0.4</v>
      </c>
      <c r="G43" s="8">
        <f t="shared" si="2"/>
        <v>1.9754559579574778E-2</v>
      </c>
      <c r="H43" s="8">
        <f t="shared" si="3"/>
        <v>3.7155527367197161E-3</v>
      </c>
    </row>
    <row r="44" spans="6:8">
      <c r="F44">
        <v>0.41</v>
      </c>
      <c r="G44" s="8">
        <f t="shared" si="2"/>
        <v>1.7981267342330538E-2</v>
      </c>
      <c r="H44" s="8">
        <f t="shared" si="3"/>
        <v>3.397821290724687E-3</v>
      </c>
    </row>
    <row r="45" spans="6:8">
      <c r="F45">
        <v>0.42</v>
      </c>
      <c r="G45" s="8">
        <f t="shared" si="2"/>
        <v>1.631999696377082E-2</v>
      </c>
      <c r="H45" s="8">
        <f t="shared" si="3"/>
        <v>3.1055776812563417E-3</v>
      </c>
    </row>
    <row r="46" spans="6:8">
      <c r="F46">
        <v>0.43</v>
      </c>
      <c r="G46" s="8">
        <f t="shared" si="2"/>
        <v>1.4767234245677297E-2</v>
      </c>
      <c r="H46" s="8">
        <f t="shared" si="3"/>
        <v>2.8370017329534215E-3</v>
      </c>
    </row>
    <row r="47" spans="6:8">
      <c r="F47">
        <v>0.44</v>
      </c>
      <c r="G47" s="8">
        <f t="shared" si="2"/>
        <v>1.3319192843108944E-2</v>
      </c>
      <c r="H47" s="8">
        <f t="shared" si="3"/>
        <v>2.59037134963464E-3</v>
      </c>
    </row>
    <row r="48" spans="6:8">
      <c r="F48">
        <v>0.45</v>
      </c>
      <c r="G48" s="8">
        <f t="shared" si="2"/>
        <v>1.1971875843318687E-2</v>
      </c>
      <c r="H48" s="8">
        <f t="shared" si="3"/>
        <v>2.3640623248638976E-3</v>
      </c>
    </row>
    <row r="49" spans="6:8">
      <c r="F49">
        <v>0.46</v>
      </c>
      <c r="G49" s="8">
        <f t="shared" si="2"/>
        <v>1.0721130648402445E-2</v>
      </c>
      <c r="H49" s="8">
        <f t="shared" si="3"/>
        <v>2.1565470743793412E-3</v>
      </c>
    </row>
    <row r="50" spans="6:8">
      <c r="F50">
        <v>0.47</v>
      </c>
      <c r="G50" s="8">
        <f t="shared" si="2"/>
        <v>9.5626976729669289E-3</v>
      </c>
      <c r="H50" s="8">
        <f t="shared" si="3"/>
        <v>1.9663925228245536E-3</v>
      </c>
    </row>
    <row r="51" spans="6:8">
      <c r="F51">
        <v>0.48</v>
      </c>
      <c r="G51" s="8">
        <f t="shared" si="2"/>
        <v>8.4922533425881332E-3</v>
      </c>
      <c r="H51" s="8">
        <f t="shared" si="3"/>
        <v>1.7922573398701752E-3</v>
      </c>
    </row>
    <row r="52" spans="6:8">
      <c r="F52">
        <v>0.49</v>
      </c>
      <c r="G52" s="8">
        <f t="shared" si="2"/>
        <v>7.505447853390231E-3</v>
      </c>
      <c r="H52" s="8">
        <f t="shared" si="3"/>
        <v>1.6328886887908172E-3</v>
      </c>
    </row>
    <row r="53" spans="6:8">
      <c r="F53">
        <v>0.5</v>
      </c>
      <c r="G53" s="8">
        <f t="shared" si="2"/>
        <v>6.597938127867165E-3</v>
      </c>
      <c r="H53" s="8">
        <f t="shared" si="3"/>
        <v>1.4871186231534713E-3</v>
      </c>
    </row>
    <row r="54" spans="6:8">
      <c r="F54">
        <v>0.51</v>
      </c>
      <c r="G54" s="8">
        <f t="shared" si="2"/>
        <v>5.7654163772374763E-3</v>
      </c>
      <c r="H54" s="8">
        <f t="shared" si="3"/>
        <v>1.3538602438595128E-3</v>
      </c>
    </row>
    <row r="55" spans="6:8">
      <c r="F55">
        <v>0.52</v>
      </c>
      <c r="G55" s="8">
        <f t="shared" si="2"/>
        <v>5.0036346562845986E-3</v>
      </c>
      <c r="H55" s="8">
        <f t="shared" si="3"/>
        <v>1.2321037088219898E-3</v>
      </c>
    </row>
    <row r="56" spans="6:8">
      <c r="F56">
        <v>0.53</v>
      </c>
      <c r="G56" s="8">
        <f t="shared" si="2"/>
        <v>4.3084257728906302E-3</v>
      </c>
      <c r="H56" s="8">
        <f t="shared" si="3"/>
        <v>1.1209121705827586E-3</v>
      </c>
    </row>
    <row r="57" spans="6:8">
      <c r="F57">
        <v>0.54</v>
      </c>
      <c r="G57" s="8">
        <f t="shared" si="2"/>
        <v>3.675720891403902E-3</v>
      </c>
      <c r="H57" s="8">
        <f t="shared" si="3"/>
        <v>1.0194177027705211E-3</v>
      </c>
    </row>
    <row r="58" spans="6:8">
      <c r="F58">
        <v>0.55000000000000004</v>
      </c>
      <c r="G58" s="8">
        <f t="shared" si="2"/>
        <v>3.1015641466564372E-3</v>
      </c>
      <c r="H58" s="8">
        <f t="shared" si="3"/>
        <v>9.2681726411486206E-4</v>
      </c>
    </row>
    <row r="59" spans="6:8">
      <c r="F59">
        <v>0.56000000000000005</v>
      </c>
      <c r="G59" s="8">
        <f t="shared" si="2"/>
        <v>2.582124563920366E-3</v>
      </c>
      <c r="H59" s="8">
        <f t="shared" si="3"/>
        <v>8.4236873845367724E-4</v>
      </c>
    </row>
    <row r="60" spans="6:8">
      <c r="F60">
        <v>0.56999999999999995</v>
      </c>
      <c r="G60" s="8">
        <f t="shared" si="2"/>
        <v>2.1137055594028444E-3</v>
      </c>
      <c r="H60" s="8">
        <f t="shared" si="3"/>
        <v>7.6538708053324725E-4</v>
      </c>
    </row>
    <row r="61" spans="6:8">
      <c r="F61">
        <v>0.57999999999999996</v>
      </c>
      <c r="G61" s="8">
        <f t="shared" si="2"/>
        <v>1.6927522760571921E-3</v>
      </c>
      <c r="H61" s="8">
        <f t="shared" si="3"/>
        <v>6.9524059016872711E-4</v>
      </c>
    </row>
    <row r="62" spans="6:8">
      <c r="F62">
        <v>0.59</v>
      </c>
      <c r="G62" s="8">
        <f t="shared" si="2"/>
        <v>1.3158569905536654E-3</v>
      </c>
      <c r="H62" s="8">
        <f t="shared" si="3"/>
        <v>6.313473313060144E-4</v>
      </c>
    </row>
    <row r="63" spans="6:8">
      <c r="F63">
        <v>0.6</v>
      </c>
      <c r="G63" s="8">
        <f t="shared" si="2"/>
        <v>9.7976280921749435E-4</v>
      </c>
      <c r="H63" s="8">
        <f t="shared" si="3"/>
        <v>5.7317170752905415E-4</v>
      </c>
    </row>
    <row r="64" spans="6:8">
      <c r="F64">
        <v>0.61</v>
      </c>
      <c r="G64" s="8">
        <f t="shared" si="2"/>
        <v>6.8136585360893437E-4</v>
      </c>
      <c r="H64" s="8">
        <f t="shared" si="3"/>
        <v>5.2022120143833755E-4</v>
      </c>
    </row>
    <row r="65" spans="6:8">
      <c r="F65">
        <v>0.62</v>
      </c>
      <c r="G65" s="8">
        <f t="shared" si="2"/>
        <v>4.1771612018649937E-4</v>
      </c>
      <c r="H65" s="8">
        <f t="shared" si="3"/>
        <v>4.72043281956036E-4</v>
      </c>
    </row>
    <row r="66" spans="6:8">
      <c r="F66">
        <v>0.63</v>
      </c>
      <c r="G66" s="8">
        <f t="shared" si="2"/>
        <v>1.8601718315211255E-4</v>
      </c>
      <c r="H66" s="8">
        <f t="shared" si="3"/>
        <v>4.2822248087804861E-4</v>
      </c>
    </row>
    <row r="67" spans="6:8">
      <c r="F67">
        <v>0.64</v>
      </c>
      <c r="G67" s="8">
        <f t="shared" si="2"/>
        <v>-1.6375104888007928E-5</v>
      </c>
      <c r="H67" s="8">
        <f t="shared" si="3"/>
        <v>3.8837763779604447E-4</v>
      </c>
    </row>
    <row r="68" spans="6:8">
      <c r="F68">
        <v>0.65</v>
      </c>
      <c r="G68" s="8">
        <f t="shared" ref="G68:G99" si="4">IF($G$3="Overdamped",EXP(-psiF*Fwn*F68)*(((v0+(psiF*Fwn+Fwd)*x0f)/2*Fwd)*EXP(Fwd*F68)-((v0+(psiF*Fwn-Fwd)*x0f)/2*Fwd)*EXP(-Fwd*F68)),IF($G$3="Underdamped",EXP(-psiF*Fwn*F68)*(x0f*COS(Fwd*F68)+((v0+psiF*Fwn*x0f)/Fwd)*SIN(Fwd*F68)),(x0f+(v0+Fwn*x0f)*F68)*EXP(-Fwn*F68)))</f>
        <v>-1.9195477341813342E-4</v>
      </c>
      <c r="H68" s="8">
        <f t="shared" ref="H68:H103" si="5">IF($G$4="Overdamped",EXP(psiR*Rwn*F68)*(((v0r+(psiR*Rwn+Rwd)*x0r)/2*Rwd)*EXP(Rwd*F68)-((v0r+(psiR*Rwn-Rwd)*x0r)/2*Rwd)*EXP(-Rwd*F68)),IF($G$4="Underdamped",EXP(psiR*Rwn*F68)*(x0r*COS(Rwd*F68)+((v0r+psiR*Rwn*x0r)/Rwd)*SIN(Rwd*F68)),(x0r+(v0r+Rwn*x0r)*F68)*EXP(-Rwn*F68)))</f>
        <v>3.5215931076959897E-4</v>
      </c>
    </row>
    <row r="69" spans="6:8">
      <c r="F69">
        <v>0.66</v>
      </c>
      <c r="G69" s="8">
        <f t="shared" si="4"/>
        <v>-3.4306862740130986E-4</v>
      </c>
      <c r="H69" s="8">
        <f t="shared" si="5"/>
        <v>3.1924734876784955E-4</v>
      </c>
    </row>
    <row r="70" spans="6:8">
      <c r="F70">
        <v>0.67</v>
      </c>
      <c r="G70" s="8">
        <f t="shared" si="4"/>
        <v>-4.7191975725101683E-4</v>
      </c>
      <c r="H70" s="8">
        <f t="shared" si="5"/>
        <v>2.8934862085990898E-4</v>
      </c>
    </row>
    <row r="71" spans="6:8">
      <c r="F71">
        <v>0.68</v>
      </c>
      <c r="G71" s="8">
        <f t="shared" si="4"/>
        <v>-5.8057156023984236E-4</v>
      </c>
      <c r="H71" s="8">
        <f t="shared" si="5"/>
        <v>2.6219489636066998E-4</v>
      </c>
    </row>
    <row r="72" spans="6:8">
      <c r="F72">
        <v>0.69</v>
      </c>
      <c r="G72" s="8">
        <f t="shared" si="4"/>
        <v>-6.7095217860279927E-4</v>
      </c>
      <c r="H72" s="8">
        <f t="shared" si="5"/>
        <v>2.3754086958829678E-4</v>
      </c>
    </row>
    <row r="73" spans="6:8">
      <c r="F73">
        <v>0.7</v>
      </c>
      <c r="G73" s="8">
        <f t="shared" si="4"/>
        <v>-7.448592692667048E-4</v>
      </c>
      <c r="H73" s="8">
        <f t="shared" si="5"/>
        <v>2.1516232252300079E-4</v>
      </c>
    </row>
    <row r="74" spans="6:8">
      <c r="F74">
        <v>0.71</v>
      </c>
      <c r="G74" s="8">
        <f t="shared" si="4"/>
        <v>-8.0396502911141967E-4</v>
      </c>
      <c r="H74" s="8">
        <f t="shared" si="5"/>
        <v>1.9485441844066027E-4</v>
      </c>
    </row>
    <row r="75" spans="6:8">
      <c r="F75">
        <v>0.72</v>
      </c>
      <c r="G75" s="8">
        <f t="shared" si="4"/>
        <v>-8.4982140797512564E-4</v>
      </c>
      <c r="H75" s="8">
        <f t="shared" si="5"/>
        <v>1.7643011950147357E-4</v>
      </c>
    </row>
    <row r="76" spans="6:8">
      <c r="F76">
        <v>0.73</v>
      </c>
      <c r="G76" s="8">
        <f t="shared" si="4"/>
        <v>-8.8386544928597871E-4</v>
      </c>
      <c r="H76" s="8">
        <f t="shared" si="5"/>
        <v>1.5971872127943108E-4</v>
      </c>
    </row>
    <row r="77" spans="6:8">
      <c r="F77">
        <v>0.74</v>
      </c>
      <c r="G77" s="8">
        <f t="shared" si="4"/>
        <v>-9.0742470526838535E-4</v>
      </c>
      <c r="H77" s="8">
        <f t="shared" si="5"/>
        <v>1.4456449730282101E-4</v>
      </c>
    </row>
    <row r="78" spans="6:8">
      <c r="F78">
        <v>0.75</v>
      </c>
      <c r="G78" s="8">
        <f t="shared" si="4"/>
        <v>-9.2172268016557093E-4</v>
      </c>
      <c r="H78" s="8">
        <f t="shared" si="5"/>
        <v>1.3082544682240307E-4</v>
      </c>
    </row>
    <row r="79" spans="6:8">
      <c r="F79">
        <v>0.76</v>
      </c>
      <c r="G79" s="8">
        <f t="shared" si="4"/>
        <v>-9.2788426087257085E-4</v>
      </c>
      <c r="H79" s="8">
        <f t="shared" si="5"/>
        <v>1.183721392180504E-4</v>
      </c>
    </row>
    <row r="80" spans="6:8">
      <c r="F80">
        <v>0.77</v>
      </c>
      <c r="G80" s="8">
        <f t="shared" si="4"/>
        <v>-9.2694109981627409E-4</v>
      </c>
      <c r="H80" s="8">
        <f t="shared" si="5"/>
        <v>1.0708664868472392E-4</v>
      </c>
    </row>
    <row r="81" spans="6:8">
      <c r="F81">
        <v>0.78</v>
      </c>
      <c r="G81" s="8">
        <f t="shared" si="4"/>
        <v>-9.1983691988204081E-4</v>
      </c>
      <c r="H81" s="8">
        <f t="shared" si="5"/>
        <v>9.6861573094717305E-5</v>
      </c>
    </row>
    <row r="82" spans="6:8">
      <c r="F82">
        <v>0.79</v>
      </c>
      <c r="G82" s="8">
        <f t="shared" si="4"/>
        <v>-9.0743271569936371E-4</v>
      </c>
      <c r="H82" s="8">
        <f t="shared" si="5"/>
        <v>8.7599131207018923E-5</v>
      </c>
    </row>
    <row r="83" spans="6:8">
      <c r="F83">
        <v>0.8</v>
      </c>
      <c r="G83" s="8">
        <f t="shared" si="4"/>
        <v>-8.9051182969075466E-4</v>
      </c>
      <c r="H83" s="8">
        <f t="shared" si="5"/>
        <v>7.9210332679640491E-5</v>
      </c>
    </row>
    <row r="84" spans="6:8">
      <c r="F84">
        <v>0.81</v>
      </c>
      <c r="G84" s="8">
        <f t="shared" si="4"/>
        <v>-8.6978488498640281E-4</v>
      </c>
      <c r="H84" s="8">
        <f t="shared" si="5"/>
        <v>7.1614215631382537E-5</v>
      </c>
    </row>
    <row r="85" spans="6:8">
      <c r="F85">
        <v>0.82</v>
      </c>
      <c r="G85" s="8">
        <f t="shared" si="4"/>
        <v>-8.4589456063890458E-4</v>
      </c>
      <c r="H85" s="8">
        <f t="shared" si="5"/>
        <v>6.4737146791279382E-5</v>
      </c>
    </row>
    <row r="86" spans="6:8">
      <c r="F86">
        <v>0.83</v>
      </c>
      <c r="G86" s="8">
        <f t="shared" si="4"/>
        <v>-8.1942019756337556E-4</v>
      </c>
      <c r="H86" s="8">
        <f t="shared" si="5"/>
        <v>5.8512179563336305E-5</v>
      </c>
    </row>
    <row r="87" spans="6:8">
      <c r="F87">
        <v>0.84</v>
      </c>
      <c r="G87" s="8">
        <f t="shared" si="4"/>
        <v>-7.9088222630312839E-4</v>
      </c>
      <c r="H87" s="8">
        <f t="shared" si="5"/>
        <v>5.2878465618329623E-5</v>
      </c>
    </row>
    <row r="88" spans="6:8">
      <c r="F88">
        <v>0.85</v>
      </c>
      <c r="G88" s="8">
        <f t="shared" si="4"/>
        <v>-7.6074641010340682E-4</v>
      </c>
      <c r="H88" s="8">
        <f t="shared" si="5"/>
        <v>4.7780715901185975E-5</v>
      </c>
    </row>
    <row r="89" spans="6:8">
      <c r="F89">
        <v>0.86</v>
      </c>
      <c r="G89" s="8">
        <f t="shared" si="4"/>
        <v>-7.2942789888791196E-4</v>
      </c>
      <c r="H89" s="8">
        <f t="shared" si="5"/>
        <v>4.3168707210149414E-5</v>
      </c>
    </row>
    <row r="90" spans="6:8">
      <c r="F90">
        <v>0.87</v>
      </c>
      <c r="G90" s="8">
        <f t="shared" si="4"/>
        <v>-6.9729509159626964E-4</v>
      </c>
      <c r="H90" s="8">
        <f t="shared" si="5"/>
        <v>3.8996830761346804E-5</v>
      </c>
    </row>
    <row r="91" spans="6:8">
      <c r="F91">
        <v>0.88</v>
      </c>
      <c r="G91" s="8">
        <f t="shared" si="4"/>
        <v>-6.6467330597540729E-4</v>
      </c>
      <c r="H91" s="8">
        <f t="shared" si="5"/>
        <v>3.5223679398626555E-5</v>
      </c>
    </row>
    <row r="92" spans="6:8">
      <c r="F92">
        <v>0.89</v>
      </c>
      <c r="G92" s="8">
        <f t="shared" si="4"/>
        <v>-6.3184825634311531E-4</v>
      </c>
      <c r="H92" s="8">
        <f t="shared" si="5"/>
        <v>3.1811670343114972E-5</v>
      </c>
    </row>
    <row r="93" spans="6:8">
      <c r="F93">
        <v>0.9</v>
      </c>
      <c r="G93" s="8">
        <f t="shared" si="4"/>
        <v>-5.9906934107578278E-4</v>
      </c>
      <c r="H93" s="8">
        <f t="shared" si="5"/>
        <v>2.8726700599493332E-5</v>
      </c>
    </row>
    <row r="94" spans="6:8">
      <c r="F94">
        <v>0.91</v>
      </c>
      <c r="G94" s="8">
        <f t="shared" si="4"/>
        <v>-5.6655274263140993E-4</v>
      </c>
      <c r="H94" s="8">
        <f t="shared" si="5"/>
        <v>2.5937832346444504E-5</v>
      </c>
    </row>
    <row r="95" spans="6:8">
      <c r="F95">
        <v>0.92</v>
      </c>
      <c r="G95" s="8">
        <f t="shared" si="4"/>
        <v>-5.3448434381928478E-4</v>
      </c>
      <c r="H95" s="8">
        <f t="shared" si="5"/>
        <v>2.3417005837092582E-5</v>
      </c>
    </row>
    <row r="96" spans="6:8">
      <c r="F96">
        <v>0.93</v>
      </c>
      <c r="G96" s="8">
        <f t="shared" si="4"/>
        <v>-5.0302246478408795E-4</v>
      </c>
      <c r="H96" s="8">
        <f t="shared" si="5"/>
        <v>2.1138777521744888E-5</v>
      </c>
    </row>
    <row r="97" spans="6:8">
      <c r="F97">
        <v>0.94</v>
      </c>
      <c r="G97" s="8">
        <f t="shared" si="4"/>
        <v>-4.7230042579845285E-4</v>
      </c>
      <c r="H97" s="8">
        <f t="shared" si="5"/>
        <v>1.9080081280118117E-5</v>
      </c>
    </row>
    <row r="98" spans="6:8">
      <c r="F98">
        <v>0.95</v>
      </c>
      <c r="G98" s="8">
        <f t="shared" si="4"/>
        <v>-4.4242894146713415E-4</v>
      </c>
      <c r="H98" s="8">
        <f t="shared" si="5"/>
        <v>1.7220010813843125E-5</v>
      </c>
    </row>
    <row r="99" spans="6:8">
      <c r="F99">
        <v>0.96</v>
      </c>
      <c r="G99" s="8">
        <f t="shared" si="4"/>
        <v>-4.1349835234987903E-4</v>
      </c>
      <c r="H99" s="8">
        <f t="shared" si="5"/>
        <v>1.5539621402807169E-5</v>
      </c>
    </row>
    <row r="100" spans="6:8">
      <c r="F100">
        <v>0.97</v>
      </c>
      <c r="G100" s="8">
        <f t="shared" ref="G100:G103" si="6">IF($G$3="Overdamped",EXP(-psiF*Fwn*F100)*(((v0+(psiF*Fwn+Fwd)*x0f)/2*Fwd)*EXP(Fwd*F100)-((v0+(psiF*Fwn-Fwd)*x0f)/2*Fwd)*EXP(-Fwd*F100)),IF($G$3="Underdamped",EXP(-psiF*Fwn*F100)*(x0f*COS(Fwd*F100)+((v0+psiF*Fwn*x0f)/Fwd)*SIN(Fwd*F100)),(x0f+(v0+Fwn*x0f)*F100)*EXP(-Fwn*F100)))</f>
        <v>-3.8558070032001954E-4</v>
      </c>
      <c r="H100" s="8">
        <f t="shared" si="5"/>
        <v>1.402174937125724E-5</v>
      </c>
    </row>
    <row r="101" spans="6:8">
      <c r="F101">
        <v>0.98</v>
      </c>
      <c r="G101" s="8">
        <f t="shared" si="6"/>
        <v>-3.5873165420201346E-4</v>
      </c>
      <c r="H101" s="8">
        <f t="shared" si="5"/>
        <v>1.265084774203579E-5</v>
      </c>
    </row>
    <row r="102" spans="6:8">
      <c r="F102">
        <v>0.99</v>
      </c>
      <c r="G102" s="8">
        <f t="shared" si="6"/>
        <v>-3.3299229238314439E-4</v>
      </c>
      <c r="H102" s="8">
        <f t="shared" si="5"/>
        <v>1.1412836680342256E-5</v>
      </c>
    </row>
    <row r="103" spans="6:8">
      <c r="F103">
        <v>1</v>
      </c>
      <c r="G103" s="8">
        <f t="shared" si="6"/>
        <v>-3.0839074918113105E-4</v>
      </c>
      <c r="H103" s="8">
        <f t="shared" si="5"/>
        <v>1.0294967442513509E-5</v>
      </c>
    </row>
  </sheetData>
  <mergeCells count="1">
    <mergeCell ref="F1:H1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warning" allowBlank="1" showInputMessage="1" showErrorMessage="1" xr:uid="{1C23B1D0-318A-4A3F-BD5A-13D6E2DCCEE4}">
          <x14:formula1>
            <xm:f>'Weight Bias'!$N$3:$N$4</xm:f>
          </x14:formula1>
          <xm:sqref>C25</xm:sqref>
        </x14:dataValidation>
        <x14:dataValidation type="list" allowBlank="1" showInputMessage="1" showErrorMessage="1" xr:uid="{849401C9-4BDE-4F85-89F7-4D94A4F0C0C0}">
          <x14:formula1>
            <xm:f>'Weight Bias'!$A$3:$A$7</xm:f>
          </x14:formula1>
          <xm:sqref>C26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B1B49-1BB6-4B97-82A9-974F7AFB1C93}">
  <dimension ref="A1:H15"/>
  <sheetViews>
    <sheetView zoomScale="125" zoomScaleNormal="180" workbookViewId="0">
      <selection activeCell="C10" sqref="C10"/>
    </sheetView>
  </sheetViews>
  <sheetFormatPr defaultColWidth="8.85546875" defaultRowHeight="15"/>
  <cols>
    <col min="1" max="1" width="26.42578125" bestFit="1" customWidth="1"/>
    <col min="2" max="2" width="11.7109375" customWidth="1"/>
    <col min="3" max="3" width="38.140625" bestFit="1" customWidth="1"/>
    <col min="4" max="4" width="18.85546875" customWidth="1"/>
    <col min="5" max="5" width="14.28515625" bestFit="1" customWidth="1"/>
    <col min="6" max="6" width="56.42578125" bestFit="1" customWidth="1"/>
  </cols>
  <sheetData>
    <row r="1" spans="1:8">
      <c r="A1" s="53" t="s">
        <v>67</v>
      </c>
      <c r="B1" s="54"/>
      <c r="C1" s="54"/>
      <c r="D1" s="54"/>
      <c r="E1" s="54"/>
      <c r="F1" s="55"/>
      <c r="G1" s="42"/>
      <c r="H1" s="42"/>
    </row>
    <row r="2" spans="1:8">
      <c r="A2" s="28" t="s">
        <v>68</v>
      </c>
      <c r="B2" s="30">
        <v>95</v>
      </c>
      <c r="C2" s="29" t="s">
        <v>6</v>
      </c>
    </row>
    <row r="3" spans="1:8">
      <c r="A3" s="53" t="s">
        <v>69</v>
      </c>
      <c r="B3" s="54"/>
      <c r="C3" s="55"/>
      <c r="D3" s="53" t="s">
        <v>70</v>
      </c>
      <c r="E3" s="54"/>
      <c r="F3" s="55"/>
    </row>
    <row r="4" spans="1:8">
      <c r="A4" s="27" t="s">
        <v>71</v>
      </c>
      <c r="B4" s="31" cm="1">
        <f t="array" ref="B4">_xlfn.IFS(B2&gt;=109,99,B2&gt;=104,95,B2&gt;=100,91,B2&gt;=95,87,B2&gt;=91,83,B2&gt;=86,79,B2&gt;=82,75,B2&gt;=77,71,B2&gt;=73,67,B2&gt;=68,63,B2&gt;=64,59,B2&gt;=59,55,B2&gt;=54,51,TRUE,"")</f>
        <v>87</v>
      </c>
      <c r="C4" s="31" t="s">
        <v>72</v>
      </c>
      <c r="D4" s="31" t="s">
        <v>73</v>
      </c>
      <c r="E4" s="31" cm="1">
        <f t="array" ref="E4">_xlfn.IFS(B2&gt;=114,315,B2&gt;=108,295,B2&gt;=101,275,B2&gt;=94,265,B2&gt;=91,255,B2&gt;=84,245,B2&gt;=77,230,B2&gt;=70,210,B2&gt;=63,190,TRUE,"")</f>
        <v>265</v>
      </c>
      <c r="F4" s="31" t="s">
        <v>72</v>
      </c>
    </row>
    <row r="5" spans="1:8">
      <c r="A5" s="29" t="s">
        <v>74</v>
      </c>
      <c r="B5" s="29" cm="1">
        <f t="array" ref="B5">_xlfn.IFS(B4&gt;=99,0,B4&gt;=91,2,B4&gt;=83,4,B4&gt;=75,5,B4&gt;=67,6,B4&gt;=59,7,B4&gt;=51,8,B4&lt;=51,9,TRUE,"")</f>
        <v>4</v>
      </c>
      <c r="C5" s="29" t="s">
        <v>75</v>
      </c>
      <c r="D5" s="29" t="s">
        <v>76</v>
      </c>
      <c r="E5" s="29" cm="1">
        <f t="array" ref="E5">_xlfn.IFS(E4&gt;=300,0,E4&gt;=280,2,E4&gt;=260,3,E4&gt;=240,5,E4&gt;=220,7,E4&gt;=200,8,E4&gt;=180,10,E4&gt;=160,11,TRUE,"")</f>
        <v>3</v>
      </c>
      <c r="F5" s="29" t="s">
        <v>75</v>
      </c>
    </row>
    <row r="6" spans="1:8">
      <c r="A6" s="27" t="s">
        <v>77</v>
      </c>
      <c r="B6" s="27" t="s">
        <v>78</v>
      </c>
      <c r="C6" s="27"/>
      <c r="D6" s="27" t="s">
        <v>77</v>
      </c>
      <c r="E6" s="27" t="s">
        <v>79</v>
      </c>
      <c r="F6" s="27"/>
    </row>
    <row r="9" spans="1:8">
      <c r="A9" s="53" t="s">
        <v>80</v>
      </c>
      <c r="B9" s="54"/>
      <c r="C9" s="54"/>
      <c r="D9" s="54"/>
      <c r="E9" s="54"/>
      <c r="F9" s="55"/>
    </row>
    <row r="10" spans="1:8">
      <c r="A10" s="53" t="s">
        <v>81</v>
      </c>
      <c r="B10" s="55"/>
      <c r="C10" s="41" t="s">
        <v>82</v>
      </c>
    </row>
    <row r="11" spans="1:8">
      <c r="A11" s="53" t="s">
        <v>83</v>
      </c>
      <c r="B11" s="55"/>
      <c r="C11" s="40" t="s">
        <v>84</v>
      </c>
    </row>
    <row r="12" spans="1:8">
      <c r="A12" s="53" t="s">
        <v>85</v>
      </c>
      <c r="B12" s="54"/>
      <c r="C12" s="55"/>
      <c r="D12" s="53" t="s">
        <v>86</v>
      </c>
      <c r="E12" s="54"/>
      <c r="F12" s="55"/>
    </row>
    <row r="13" spans="1:8">
      <c r="A13" s="27" t="s">
        <v>87</v>
      </c>
      <c r="B13" s="27">
        <f>IF(C11="White Circle", 'White Circle'!C10,IF('Shock Setup'!C11="Green Circle",'Green Circle'!C10,IF('Shock Setup'!C11="Blue Square",'Blue Square'!C10,IF('Shock Setup'!C11="Black Diamond",'Black Diamond'!C10,'Double Black Diamond'!C10))))</f>
        <v>400</v>
      </c>
      <c r="C13" s="27" t="s">
        <v>23</v>
      </c>
      <c r="D13" s="27" t="s">
        <v>87</v>
      </c>
      <c r="E13" s="27">
        <f>IF(C11="White Circle", 'White Circle'!C11,IF('Shock Setup'!C11="Green Circle",'Green Circle'!C11,IF('Shock Setup'!C11="Blue Square",'Blue Square'!C11,IF('Shock Setup'!C11="Black Diamond",'Black Diamond'!C11,'Double Black Diamond'!C11))))</f>
        <v>1000</v>
      </c>
      <c r="F13" s="27" t="s">
        <v>23</v>
      </c>
    </row>
    <row r="14" spans="1:8">
      <c r="A14" s="27" t="s">
        <v>88</v>
      </c>
      <c r="B14" s="27" t="str" cm="1">
        <f t="array" ref="B14">_xlfn.IFS(B13&gt;=650,"-1",B13&gt;=500,"0",B13&gt;=500,"+1",B13&gt;=450,"+1",B13&gt;=400,"+2",FALSE,"")</f>
        <v>+2</v>
      </c>
      <c r="C14" s="27" t="s">
        <v>89</v>
      </c>
      <c r="D14" s="27" t="s">
        <v>88</v>
      </c>
      <c r="E14" s="43" t="str" cm="1">
        <f t="array" ref="E14">_xlfn.IFS(E13&gt;=1000,"+2",E13&gt;=2576.7,"-2",E13&gt;=1400,"0",E13&gt;=1200,"+1",E13&gt;=1000,"-1",TRUE,"")</f>
        <v>+2</v>
      </c>
      <c r="F14" s="27" t="s">
        <v>90</v>
      </c>
    </row>
    <row r="15" spans="1:8">
      <c r="A15" s="27" t="s">
        <v>77</v>
      </c>
      <c r="B15" s="27" t="str">
        <f>IF(AND(C10="Ascending",C11="White Circle"),"Closed","Open")</f>
        <v>Closed</v>
      </c>
      <c r="C15" s="27"/>
      <c r="D15" s="27" t="s">
        <v>77</v>
      </c>
      <c r="E15" s="43" t="str" cm="1">
        <f t="array" ref="E15">_xlfn.IFS(E14="+2","Closed",E14="-1","Mid",E14="0","Mid",E14="+1","Mid",E14="+2","Open",TRUE,"")</f>
        <v>Closed</v>
      </c>
      <c r="F15" s="27"/>
    </row>
  </sheetData>
  <mergeCells count="8">
    <mergeCell ref="A1:F1"/>
    <mergeCell ref="A10:B10"/>
    <mergeCell ref="A12:C12"/>
    <mergeCell ref="D12:F12"/>
    <mergeCell ref="A3:C3"/>
    <mergeCell ref="D3:F3"/>
    <mergeCell ref="A9:F9"/>
    <mergeCell ref="A11:B11"/>
  </mergeCells>
  <pageMargins left="0.7" right="0.7" top="0.75" bottom="0.75" header="0.3" footer="0.3"/>
  <pageSetup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096479C-C615-4E0D-84E0-C0C790FCFA7B}">
          <x14:formula1>
            <xm:f>'Weight Bias'!$N$3:$N$4</xm:f>
          </x14:formula1>
          <xm:sqref>C10</xm:sqref>
        </x14:dataValidation>
        <x14:dataValidation type="list" allowBlank="1" showInputMessage="1" showErrorMessage="1" xr:uid="{2D235E77-CC62-4FE6-9EE3-49292B050C0E}">
          <x14:formula1>
            <xm:f>'Weight Bias'!$O$3:$O$7</xm:f>
          </x14:formula1>
          <xm:sqref>C11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B5504-10E8-4935-8C99-0A12AB713AB1}">
  <sheetPr codeName="Sheet7"/>
  <dimension ref="A1:R15"/>
  <sheetViews>
    <sheetView workbookViewId="0"/>
  </sheetViews>
  <sheetFormatPr defaultColWidth="8.85546875" defaultRowHeight="15"/>
  <cols>
    <col min="1" max="1" width="9" customWidth="1"/>
    <col min="6" max="6" width="11.28515625" customWidth="1"/>
    <col min="7" max="7" width="10.85546875" customWidth="1"/>
    <col min="9" max="9" width="9.28515625" customWidth="1"/>
    <col min="14" max="14" width="11.140625" customWidth="1"/>
    <col min="15" max="15" width="14.7109375" bestFit="1" customWidth="1"/>
    <col min="16" max="16" width="11.42578125" customWidth="1"/>
    <col min="17" max="17" width="6.42578125" customWidth="1"/>
  </cols>
  <sheetData>
    <row r="1" spans="1:18">
      <c r="A1" s="11" t="s">
        <v>58</v>
      </c>
      <c r="B1" s="11"/>
      <c r="C1" s="11" t="s">
        <v>91</v>
      </c>
      <c r="D1" s="11"/>
      <c r="E1" s="11"/>
      <c r="F1" s="11"/>
      <c r="G1" s="11"/>
      <c r="H1" s="11"/>
      <c r="I1" s="11"/>
      <c r="J1" s="11"/>
      <c r="K1" s="11"/>
    </row>
    <row r="2" spans="1:18">
      <c r="A2" s="11" t="s">
        <v>92</v>
      </c>
      <c r="B2" s="11" t="s">
        <v>93</v>
      </c>
      <c r="C2" s="11" t="s">
        <v>94</v>
      </c>
      <c r="D2" s="11" t="s">
        <v>95</v>
      </c>
      <c r="E2" s="11" t="s">
        <v>96</v>
      </c>
      <c r="F2" s="11" t="s">
        <v>97</v>
      </c>
      <c r="G2" s="11" t="s">
        <v>98</v>
      </c>
      <c r="H2" s="11" t="s">
        <v>99</v>
      </c>
      <c r="I2" s="11" t="s">
        <v>100</v>
      </c>
      <c r="J2" s="11" t="s">
        <v>6</v>
      </c>
      <c r="K2" s="11" t="s">
        <v>6</v>
      </c>
    </row>
    <row r="3" spans="1:18">
      <c r="A3" s="13">
        <v>0</v>
      </c>
      <c r="B3" s="11">
        <v>0</v>
      </c>
      <c r="C3" s="11">
        <v>0</v>
      </c>
      <c r="D3" s="11">
        <v>77.5</v>
      </c>
      <c r="E3" s="11">
        <v>127.5</v>
      </c>
      <c r="F3" s="14">
        <v>37.804878049999999</v>
      </c>
      <c r="G3" s="14">
        <v>62.195121950000001</v>
      </c>
      <c r="H3" s="32">
        <f>F3/100</f>
        <v>0.37804878050000001</v>
      </c>
      <c r="I3" s="32">
        <f>G3/100</f>
        <v>0.62195121949999999</v>
      </c>
      <c r="J3" s="11">
        <v>35.15</v>
      </c>
      <c r="K3" s="11">
        <v>57.82</v>
      </c>
      <c r="N3" t="s">
        <v>82</v>
      </c>
      <c r="O3" t="s">
        <v>84</v>
      </c>
      <c r="P3" t="s">
        <v>101</v>
      </c>
      <c r="Q3">
        <v>1182</v>
      </c>
      <c r="R3" t="s">
        <v>102</v>
      </c>
    </row>
    <row r="4" spans="1:18">
      <c r="A4" s="11" t="s">
        <v>103</v>
      </c>
      <c r="B4" s="11">
        <v>2.86</v>
      </c>
      <c r="C4" s="11">
        <v>59.05</v>
      </c>
      <c r="D4" s="11">
        <v>84.5</v>
      </c>
      <c r="E4" s="11">
        <v>120.5</v>
      </c>
      <c r="F4" s="14">
        <v>41.219512199999997</v>
      </c>
      <c r="G4" s="14">
        <v>58.780487800000003</v>
      </c>
      <c r="H4" s="32">
        <f t="shared" ref="H4:H7" si="0">F4/100</f>
        <v>0.41219512199999997</v>
      </c>
      <c r="I4" s="32">
        <f t="shared" ref="I4:I7" si="1">G4/100</f>
        <v>0.58780487800000003</v>
      </c>
      <c r="J4" s="11">
        <v>38.32</v>
      </c>
      <c r="K4" s="11">
        <v>54.65</v>
      </c>
      <c r="N4" t="s">
        <v>58</v>
      </c>
      <c r="O4" t="s">
        <v>104</v>
      </c>
    </row>
    <row r="5" spans="1:18">
      <c r="A5" s="11" t="s">
        <v>61</v>
      </c>
      <c r="B5" s="11">
        <v>5.71</v>
      </c>
      <c r="C5" s="11">
        <v>118.19</v>
      </c>
      <c r="D5" s="11">
        <v>93</v>
      </c>
      <c r="E5" s="11">
        <v>112</v>
      </c>
      <c r="F5" s="14">
        <v>45.365853659999999</v>
      </c>
      <c r="G5" s="14">
        <v>54.634146340000001</v>
      </c>
      <c r="H5" s="32">
        <f t="shared" si="0"/>
        <v>0.4536585366</v>
      </c>
      <c r="I5" s="32">
        <f t="shared" si="1"/>
        <v>0.5463414634</v>
      </c>
      <c r="J5" s="11">
        <v>42.18</v>
      </c>
      <c r="K5" s="11">
        <v>50.79</v>
      </c>
      <c r="O5" t="s">
        <v>105</v>
      </c>
    </row>
    <row r="6" spans="1:18">
      <c r="A6" s="11" t="s">
        <v>106</v>
      </c>
      <c r="B6" s="11">
        <v>8.5299999999999994</v>
      </c>
      <c r="C6" s="11">
        <v>177.28</v>
      </c>
      <c r="D6" s="11">
        <v>90.1</v>
      </c>
      <c r="E6" s="11">
        <v>106.9</v>
      </c>
      <c r="F6" s="14">
        <v>45.736040610000003</v>
      </c>
      <c r="G6" s="14">
        <v>54.263959389999997</v>
      </c>
      <c r="H6" s="32">
        <f t="shared" si="0"/>
        <v>0.45736040610000006</v>
      </c>
      <c r="I6" s="32">
        <f t="shared" si="1"/>
        <v>0.54263959389999994</v>
      </c>
      <c r="J6" s="11">
        <v>40.86</v>
      </c>
      <c r="K6" s="11">
        <v>48.48</v>
      </c>
      <c r="O6" t="s">
        <v>107</v>
      </c>
    </row>
    <row r="7" spans="1:18">
      <c r="A7" s="11" t="s">
        <v>108</v>
      </c>
      <c r="B7" s="11">
        <v>11.31</v>
      </c>
      <c r="C7" s="11">
        <v>236.4</v>
      </c>
      <c r="D7" s="11">
        <v>107</v>
      </c>
      <c r="E7" s="11">
        <v>98</v>
      </c>
      <c r="F7" s="14">
        <v>52.195121950000001</v>
      </c>
      <c r="G7" s="14">
        <v>47.804878049999999</v>
      </c>
      <c r="H7" s="32">
        <f t="shared" si="0"/>
        <v>0.52195121950000001</v>
      </c>
      <c r="I7" s="32">
        <f t="shared" si="1"/>
        <v>0.47804878049999999</v>
      </c>
      <c r="J7" s="11">
        <v>48.53</v>
      </c>
      <c r="K7" s="11">
        <v>44.44</v>
      </c>
      <c r="O7" t="s">
        <v>109</v>
      </c>
    </row>
    <row r="8" spans="1:18">
      <c r="A8" s="11"/>
      <c r="B8" s="11"/>
      <c r="C8" s="11"/>
      <c r="D8" s="11"/>
      <c r="E8" s="11"/>
      <c r="F8" s="14"/>
      <c r="G8" s="14"/>
      <c r="H8" s="11"/>
      <c r="I8" s="11"/>
      <c r="J8" s="11"/>
      <c r="K8" s="11"/>
    </row>
    <row r="9" spans="1:18">
      <c r="A9" s="11" t="s">
        <v>82</v>
      </c>
      <c r="B9" s="11"/>
      <c r="C9" s="11" t="s">
        <v>91</v>
      </c>
      <c r="D9" s="11"/>
      <c r="E9" s="11"/>
      <c r="F9" s="14"/>
      <c r="G9" s="14"/>
      <c r="H9" s="11"/>
      <c r="I9" s="11"/>
      <c r="J9" s="11"/>
      <c r="K9" s="11"/>
    </row>
    <row r="10" spans="1:18">
      <c r="A10" s="11" t="s">
        <v>92</v>
      </c>
      <c r="B10" s="11" t="s">
        <v>93</v>
      </c>
      <c r="C10" s="11" t="s">
        <v>94</v>
      </c>
      <c r="D10" s="11" t="s">
        <v>95</v>
      </c>
      <c r="E10" s="11" t="s">
        <v>96</v>
      </c>
      <c r="F10" s="14" t="s">
        <v>97</v>
      </c>
      <c r="G10" s="14" t="s">
        <v>98</v>
      </c>
      <c r="H10" s="11" t="s">
        <v>99</v>
      </c>
      <c r="I10" s="11" t="s">
        <v>100</v>
      </c>
      <c r="J10" s="11" t="s">
        <v>6</v>
      </c>
      <c r="K10" s="11" t="s">
        <v>6</v>
      </c>
    </row>
    <row r="11" spans="1:18">
      <c r="A11" s="13">
        <v>0</v>
      </c>
      <c r="B11" s="11">
        <v>0</v>
      </c>
      <c r="C11" s="11">
        <v>0</v>
      </c>
      <c r="D11" s="11">
        <v>77.5</v>
      </c>
      <c r="E11" s="11">
        <v>127.5</v>
      </c>
      <c r="F11" s="14">
        <v>37.804878049999999</v>
      </c>
      <c r="G11" s="14">
        <v>62.195121950000001</v>
      </c>
      <c r="H11" s="32">
        <f>F11/100</f>
        <v>0.37804878050000001</v>
      </c>
      <c r="I11" s="32">
        <f>G11/100</f>
        <v>0.62195121949999999</v>
      </c>
      <c r="J11" s="11">
        <v>35.15</v>
      </c>
      <c r="K11" s="11">
        <v>57.82</v>
      </c>
    </row>
    <row r="12" spans="1:18">
      <c r="A12" s="11" t="s">
        <v>103</v>
      </c>
      <c r="B12" s="11">
        <v>2.86</v>
      </c>
      <c r="C12" s="11">
        <v>59.05</v>
      </c>
      <c r="D12" s="11">
        <v>68.5</v>
      </c>
      <c r="E12" s="11">
        <v>136.5</v>
      </c>
      <c r="F12" s="14">
        <v>33.414634149999998</v>
      </c>
      <c r="G12" s="14">
        <v>66.585365850000002</v>
      </c>
      <c r="H12" s="32">
        <f t="shared" ref="H12:H15" si="2">F12/100</f>
        <v>0.3341463415</v>
      </c>
      <c r="I12" s="32">
        <f t="shared" ref="I12:I15" si="3">G12/100</f>
        <v>0.6658536585</v>
      </c>
      <c r="J12" s="11">
        <v>31.07</v>
      </c>
      <c r="K12" s="11">
        <v>61.9</v>
      </c>
    </row>
    <row r="13" spans="1:18">
      <c r="A13" s="11" t="s">
        <v>61</v>
      </c>
      <c r="B13" s="11">
        <v>5.71</v>
      </c>
      <c r="C13" s="11">
        <v>118.19</v>
      </c>
      <c r="D13" s="11">
        <v>59</v>
      </c>
      <c r="E13" s="11">
        <v>146</v>
      </c>
      <c r="F13" s="14">
        <v>28.7804878</v>
      </c>
      <c r="G13" s="14">
        <v>71.219512199999997</v>
      </c>
      <c r="H13" s="32">
        <f t="shared" si="2"/>
        <v>0.28780487799999999</v>
      </c>
      <c r="I13" s="32">
        <f t="shared" si="3"/>
        <v>0.71219512200000001</v>
      </c>
      <c r="J13" s="11">
        <v>26.76</v>
      </c>
      <c r="K13" s="11">
        <v>66.209999999999994</v>
      </c>
    </row>
    <row r="14" spans="1:18">
      <c r="A14" s="11" t="s">
        <v>106</v>
      </c>
      <c r="B14" s="11">
        <v>8.5299999999999994</v>
      </c>
      <c r="C14" s="11">
        <v>177.28</v>
      </c>
      <c r="D14" s="11">
        <v>52.5</v>
      </c>
      <c r="E14" s="11">
        <v>152.5</v>
      </c>
      <c r="F14" s="14">
        <v>25.609756099999998</v>
      </c>
      <c r="G14" s="14">
        <v>74.390243900000002</v>
      </c>
      <c r="H14" s="32">
        <f t="shared" si="2"/>
        <v>0.25609756099999997</v>
      </c>
      <c r="I14" s="32">
        <f t="shared" si="3"/>
        <v>0.74390243899999997</v>
      </c>
      <c r="J14" s="11">
        <v>23.81</v>
      </c>
      <c r="K14" s="11">
        <v>69.16</v>
      </c>
    </row>
    <row r="15" spans="1:18">
      <c r="A15" s="11" t="s">
        <v>108</v>
      </c>
      <c r="B15" s="11">
        <v>11.31</v>
      </c>
      <c r="C15" s="11">
        <v>236.4</v>
      </c>
      <c r="D15" s="11">
        <v>49</v>
      </c>
      <c r="E15" s="11">
        <v>156</v>
      </c>
      <c r="F15" s="14">
        <v>23.902439019999999</v>
      </c>
      <c r="G15" s="14">
        <v>76.097560979999997</v>
      </c>
      <c r="H15" s="32">
        <f t="shared" si="2"/>
        <v>0.23902439019999999</v>
      </c>
      <c r="I15" s="32">
        <f t="shared" si="3"/>
        <v>0.76097560980000001</v>
      </c>
      <c r="J15" s="11">
        <v>22.22</v>
      </c>
      <c r="K15" s="11">
        <v>70.75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43667-E857-4E3B-9C24-2ABF3B0A3FA3}">
  <sheetPr>
    <pageSetUpPr fitToPage="1"/>
  </sheetPr>
  <dimension ref="A1:G17"/>
  <sheetViews>
    <sheetView tabSelected="1" workbookViewId="0">
      <selection activeCell="B19" sqref="B19"/>
    </sheetView>
  </sheetViews>
  <sheetFormatPr defaultColWidth="8.85546875" defaultRowHeight="15"/>
  <cols>
    <col min="1" max="1" width="15" customWidth="1"/>
    <col min="2" max="2" width="22.42578125" customWidth="1"/>
    <col min="3" max="3" width="9.42578125" customWidth="1"/>
    <col min="4" max="4" width="18.85546875" customWidth="1"/>
    <col min="5" max="5" width="9.85546875" customWidth="1"/>
    <col min="6" max="6" width="22.7109375" customWidth="1"/>
    <col min="7" max="7" width="26.85546875" customWidth="1"/>
  </cols>
  <sheetData>
    <row r="1" spans="1:7">
      <c r="A1" s="17" t="s">
        <v>110</v>
      </c>
      <c r="B1" s="17"/>
      <c r="C1" s="18"/>
      <c r="D1" s="18"/>
      <c r="E1" s="18"/>
      <c r="F1" s="18"/>
    </row>
    <row r="2" spans="1:7">
      <c r="A2" s="17" t="s">
        <v>111</v>
      </c>
      <c r="B2" s="17" t="s">
        <v>112</v>
      </c>
      <c r="C2" s="17" t="s">
        <v>113</v>
      </c>
      <c r="D2" s="17" t="s">
        <v>114</v>
      </c>
      <c r="E2" s="17" t="s">
        <v>115</v>
      </c>
      <c r="F2" s="17" t="s">
        <v>116</v>
      </c>
    </row>
    <row r="3" spans="1:7">
      <c r="A3" s="19" t="s">
        <v>117</v>
      </c>
      <c r="B3" s="19" t="s">
        <v>118</v>
      </c>
      <c r="C3" s="19">
        <v>3</v>
      </c>
      <c r="D3" s="19" t="s">
        <v>119</v>
      </c>
      <c r="E3" s="49">
        <v>400</v>
      </c>
      <c r="F3" s="19" t="s">
        <v>120</v>
      </c>
    </row>
    <row r="4" spans="1:7">
      <c r="A4" s="19" t="s">
        <v>121</v>
      </c>
      <c r="B4" s="19" t="s">
        <v>122</v>
      </c>
      <c r="C4" s="19">
        <v>1</v>
      </c>
      <c r="D4" s="19" t="s">
        <v>123</v>
      </c>
      <c r="E4" s="49">
        <v>65.5</v>
      </c>
      <c r="F4" s="19" t="s">
        <v>120</v>
      </c>
    </row>
    <row r="5" spans="1:7">
      <c r="A5" s="20" t="s">
        <v>124</v>
      </c>
      <c r="B5" s="20" t="s">
        <v>125</v>
      </c>
      <c r="C5" s="20">
        <v>5</v>
      </c>
      <c r="D5" s="20" t="s">
        <v>123</v>
      </c>
      <c r="E5" s="21">
        <v>14.17</v>
      </c>
      <c r="F5" s="20" t="str">
        <f>G5</f>
        <v>Reimbursement Pending</v>
      </c>
      <c r="G5" t="s">
        <v>126</v>
      </c>
    </row>
    <row r="6" spans="1:7">
      <c r="A6" s="20" t="s">
        <v>127</v>
      </c>
      <c r="B6" s="20" t="s">
        <v>128</v>
      </c>
      <c r="C6" s="20">
        <v>1</v>
      </c>
      <c r="D6" s="20" t="s">
        <v>123</v>
      </c>
      <c r="E6" s="21">
        <v>26.86</v>
      </c>
      <c r="F6" s="20" t="str">
        <f t="shared" ref="F6:F11" si="0">G6</f>
        <v>Reimbursement Pending</v>
      </c>
      <c r="G6" t="s">
        <v>126</v>
      </c>
    </row>
    <row r="7" spans="1:7">
      <c r="A7" s="20" t="s">
        <v>129</v>
      </c>
      <c r="B7" s="20" t="s">
        <v>130</v>
      </c>
      <c r="C7" s="20">
        <v>1</v>
      </c>
      <c r="D7" s="20" t="s">
        <v>131</v>
      </c>
      <c r="E7" s="21">
        <v>23.8</v>
      </c>
      <c r="F7" s="20" t="str">
        <f t="shared" si="0"/>
        <v>Reimbursement Pending</v>
      </c>
      <c r="G7" t="s">
        <v>126</v>
      </c>
    </row>
    <row r="8" spans="1:7">
      <c r="A8" s="20" t="s">
        <v>129</v>
      </c>
      <c r="B8" s="20" t="s">
        <v>132</v>
      </c>
      <c r="C8" s="20">
        <v>2</v>
      </c>
      <c r="D8" s="20" t="s">
        <v>131</v>
      </c>
      <c r="E8" s="21">
        <v>1.49</v>
      </c>
      <c r="F8" s="20" t="str">
        <f t="shared" si="0"/>
        <v>Reimbursement Pending</v>
      </c>
      <c r="G8" t="s">
        <v>126</v>
      </c>
    </row>
    <row r="9" spans="1:7">
      <c r="A9" s="20" t="s">
        <v>129</v>
      </c>
      <c r="B9" s="20" t="s">
        <v>133</v>
      </c>
      <c r="C9" s="20">
        <v>4</v>
      </c>
      <c r="D9" s="20" t="s">
        <v>131</v>
      </c>
      <c r="E9" s="21">
        <v>15.09</v>
      </c>
      <c r="F9" s="20" t="str">
        <f t="shared" si="0"/>
        <v>Reimbursement Pending</v>
      </c>
      <c r="G9" t="s">
        <v>126</v>
      </c>
    </row>
    <row r="10" spans="1:7">
      <c r="A10" s="20" t="s">
        <v>129</v>
      </c>
      <c r="B10" s="20" t="s">
        <v>134</v>
      </c>
      <c r="C10" s="20">
        <v>10</v>
      </c>
      <c r="D10" s="20" t="s">
        <v>131</v>
      </c>
      <c r="E10" s="21">
        <v>53.07</v>
      </c>
      <c r="F10" s="20" t="str">
        <f t="shared" si="0"/>
        <v>Reimbursement Pending</v>
      </c>
      <c r="G10" t="s">
        <v>126</v>
      </c>
    </row>
    <row r="11" spans="1:7">
      <c r="A11" s="20" t="s">
        <v>135</v>
      </c>
      <c r="B11" s="20" t="s">
        <v>136</v>
      </c>
      <c r="C11" s="20">
        <v>1</v>
      </c>
      <c r="D11" s="20" t="s">
        <v>137</v>
      </c>
      <c r="E11" s="21">
        <v>1308.57</v>
      </c>
      <c r="F11" s="20" t="str">
        <f t="shared" si="0"/>
        <v>Reimbursement Pending</v>
      </c>
      <c r="G11" t="s">
        <v>126</v>
      </c>
    </row>
    <row r="12" spans="1:7">
      <c r="A12" s="22" t="s">
        <v>138</v>
      </c>
      <c r="B12" s="22" t="s">
        <v>139</v>
      </c>
      <c r="C12" s="22">
        <v>1</v>
      </c>
      <c r="D12" s="22" t="s">
        <v>140</v>
      </c>
      <c r="E12" s="23">
        <v>0</v>
      </c>
      <c r="F12" s="22" t="s">
        <v>141</v>
      </c>
    </row>
    <row r="13" spans="1:7">
      <c r="A13" s="22" t="s">
        <v>142</v>
      </c>
      <c r="B13" s="22" t="s">
        <v>143</v>
      </c>
      <c r="C13" s="22">
        <v>1</v>
      </c>
      <c r="D13" s="22" t="s">
        <v>144</v>
      </c>
      <c r="E13" s="23">
        <v>0</v>
      </c>
      <c r="F13" s="22" t="s">
        <v>145</v>
      </c>
    </row>
    <row r="14" spans="1:7">
      <c r="A14" s="22" t="s">
        <v>146</v>
      </c>
      <c r="B14" s="22" t="s">
        <v>147</v>
      </c>
      <c r="C14" s="22">
        <v>6</v>
      </c>
      <c r="D14" s="22" t="s">
        <v>129</v>
      </c>
      <c r="E14" s="23">
        <v>0</v>
      </c>
      <c r="F14" s="22" t="s">
        <v>141</v>
      </c>
    </row>
    <row r="15" spans="1:7">
      <c r="A15" s="22" t="s">
        <v>148</v>
      </c>
      <c r="B15" s="22" t="s">
        <v>149</v>
      </c>
      <c r="C15" s="22">
        <v>1</v>
      </c>
      <c r="D15" s="24" t="s">
        <v>150</v>
      </c>
      <c r="E15" s="25">
        <v>0</v>
      </c>
      <c r="F15" s="22" t="s">
        <v>145</v>
      </c>
    </row>
    <row r="16" spans="1:7">
      <c r="D16" s="18" t="s">
        <v>151</v>
      </c>
      <c r="E16" s="50">
        <f>SUM(E3:E15)</f>
        <v>1908.5500000000002</v>
      </c>
    </row>
    <row r="17" spans="4:5">
      <c r="D17" s="18" t="s">
        <v>152</v>
      </c>
      <c r="E17" s="26">
        <v>3000</v>
      </c>
    </row>
  </sheetData>
  <pageMargins left="0.7" right="0.7" top="0.75" bottom="0.75" header="0.3" footer="0.3"/>
  <pageSetup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7EAF5-A07F-4BE2-9279-DEE3A9A81909}">
  <sheetPr codeName="Sheet2"/>
  <dimension ref="A1:Q103"/>
  <sheetViews>
    <sheetView workbookViewId="0">
      <selection activeCell="A34" sqref="A34"/>
    </sheetView>
  </sheetViews>
  <sheetFormatPr defaultColWidth="8.85546875" defaultRowHeight="15"/>
  <cols>
    <col min="1" max="1" width="23.28515625" customWidth="1"/>
    <col min="2" max="2" width="6.85546875" customWidth="1"/>
    <col min="3" max="3" width="11.28515625" customWidth="1"/>
    <col min="4" max="4" width="7.7109375" customWidth="1"/>
    <col min="6" max="6" width="8.140625" bestFit="1" customWidth="1"/>
    <col min="7" max="7" width="12.42578125" bestFit="1" customWidth="1"/>
    <col min="8" max="8" width="13.85546875" bestFit="1" customWidth="1"/>
    <col min="14" max="14" width="24" bestFit="1" customWidth="1"/>
  </cols>
  <sheetData>
    <row r="1" spans="1:17">
      <c r="F1" s="51" t="s">
        <v>0</v>
      </c>
      <c r="G1" s="52"/>
      <c r="H1" s="52"/>
      <c r="N1" s="45" t="s">
        <v>153</v>
      </c>
      <c r="O1" s="45" t="s">
        <v>154</v>
      </c>
      <c r="P1" s="45">
        <v>8.0500000000000007</v>
      </c>
      <c r="Q1" s="45" t="s">
        <v>38</v>
      </c>
    </row>
    <row r="2" spans="1:17">
      <c r="A2" s="2" t="s">
        <v>1</v>
      </c>
      <c r="B2" s="3"/>
      <c r="C2" s="3"/>
      <c r="D2" s="3"/>
      <c r="G2" t="s">
        <v>2</v>
      </c>
      <c r="H2" t="s">
        <v>3</v>
      </c>
      <c r="N2" s="45" t="s">
        <v>155</v>
      </c>
      <c r="O2" s="45" t="s">
        <v>156</v>
      </c>
      <c r="P2" s="45">
        <v>2.5399999999999999E-2</v>
      </c>
      <c r="Q2" s="45" t="s">
        <v>11</v>
      </c>
    </row>
    <row r="3" spans="1:17">
      <c r="A3" s="3" t="s">
        <v>4</v>
      </c>
      <c r="B3" s="3" t="s">
        <v>5</v>
      </c>
      <c r="C3" s="1">
        <v>14.06</v>
      </c>
      <c r="D3" s="3" t="s">
        <v>6</v>
      </c>
      <c r="F3" s="5" t="s">
        <v>7</v>
      </c>
      <c r="G3" s="6" t="str">
        <f>IF(C12&gt;1, "Overdamped",IF(C12&lt;1,"Underdamped","Critically Damped"))</f>
        <v>Underdamped</v>
      </c>
      <c r="H3" s="6" t="str">
        <f>IF(C13&gt;1, "Overdamped",IF(C13&lt;1,"Underdamped","Critically Damped"))</f>
        <v>Underdamped</v>
      </c>
      <c r="N3" s="45" t="s">
        <v>157</v>
      </c>
      <c r="O3" s="45" t="s">
        <v>158</v>
      </c>
      <c r="P3" s="45">
        <v>2.64</v>
      </c>
      <c r="Q3" s="45" t="s">
        <v>33</v>
      </c>
    </row>
    <row r="4" spans="1:17">
      <c r="A4" s="3" t="s">
        <v>8</v>
      </c>
      <c r="B4" s="3" t="s">
        <v>9</v>
      </c>
      <c r="C4" s="3">
        <f>'Shock Setup'!B2</f>
        <v>95</v>
      </c>
      <c r="D4" s="3" t="s">
        <v>6</v>
      </c>
      <c r="F4">
        <v>0.01</v>
      </c>
      <c r="G4" s="8">
        <f>IF($G$3="Overdamped",EXP(-$C$12*$C$14*F4)*((($C$16+($C$12*$C$14+$C$20)*$C$17)/2*$C$20)*EXP($C$20*F4)-(($C$16+($C$12*$C$14-$C$20)*$C$17)/2*$C$20)*EXP(-$C$20*F4)),IF($G$3="Underdamped",EXP(-$C$12*$C$14*F4)*($C$17*COS($C$20*F4)+(($C$16+$C$12*$C$14*$C$17)/$C$20)*SIN($C$20*F4)),($C$17+($C$16+$C$14*$C$17)*F4)*EXP(-$C$14*F4)))</f>
        <v>2.6529608433713573E-3</v>
      </c>
      <c r="H4" s="8">
        <f>IF($H$3="Overdamped",EXP(-$C$13*$C$15*F4)*((($C$16+($C$13*$C$15+$C$21)*$C$18)/2*$C$21)*EXP($C$21*F4)-(($C$16+($C$13*$C$15-$C$21)*$C$18)/2*$C$21)*EXP(-$C$21*F4)),IF($H$3="Underdamped",EXP(-$C$13*$C$15*F4)*($C$18*COS($C$21*F4)+(($C$16+$C$13*$C$15*$C$18)/$C$21)*SIN($C$21*F4)),($C$18+($C$16+$C$15*$C$18)*F4)*EXP(-$C$15*F4)))</f>
        <v>2.5842403282759501E-3</v>
      </c>
    </row>
    <row r="5" spans="1:17">
      <c r="A5" s="3" t="s">
        <v>10</v>
      </c>
      <c r="B5" s="3" t="s">
        <v>11</v>
      </c>
      <c r="C5" s="37">
        <f>C3+C4</f>
        <v>109.06</v>
      </c>
      <c r="D5" s="3" t="s">
        <v>6</v>
      </c>
      <c r="F5">
        <v>0.02</v>
      </c>
      <c r="G5" s="8">
        <f t="shared" ref="G5:G68" si="0">IF($G$3="Overdamped",EXP(-$C$12*$C$14*F5)*((($C$16+($C$12*$C$14+$C$20)*$C$17)/2*$C$20)*EXP($C$20*F5)-(($C$16+($C$12*$C$14-$C$20)*$C$17)/2*$C$20)*EXP(-$C$20*F5)),IF($G$3="Underdamped",EXP(-$C$12*$C$14*F5)*($C$17*COS($C$20*F5)+(($C$16+$C$12*$C$14*$C$17)/$C$20)*SIN($C$20*F5)),($C$17+($C$16+$C$14*$C$17)*F5)*EXP(-$C$14*F5)))</f>
        <v>4.9725831564354245E-3</v>
      </c>
      <c r="H5" s="8">
        <f t="shared" ref="H5:H68" si="1">IF($H$3="Overdamped",EXP(-$C$13*$C$15*F5)*((($C$16+($C$13*$C$15+$C$21)*$C$18)/2*$C$21)*EXP($C$21*F5)-(($C$16+($C$13*$C$15-$C$21)*$C$18)/2*$C$21)*EXP(-$C$21*F5)),IF($H$3="Underdamped",EXP(-$C$13*$C$15*F5)*($C$18*COS($C$21*F5)+(($C$16+$C$13*$C$15*$C$18)/$C$21)*SIN($C$21*F5)),($C$18+($C$16+$C$15*$C$18)*F5)*EXP(-$C$15*F5)))</f>
        <v>4.7083667579037227E-3</v>
      </c>
    </row>
    <row r="6" spans="1:17" ht="17.25" customHeight="1">
      <c r="A6" s="3" t="s">
        <v>12</v>
      </c>
      <c r="B6" s="35" t="s">
        <v>13</v>
      </c>
      <c r="C6" s="33">
        <f>IF(C25="Ascending",('Shock Setup'!B2+C3)*VLOOKUP(C26,'Weight Bias'!A11:K15,8,FALSE),( 'Shock Setup'!B2+C3)*VLOOKUP(C26,'Weight Bias'!A3:K7,8,FALSE))</f>
        <v>41.230000001330005</v>
      </c>
      <c r="D6" s="36" t="s">
        <v>6</v>
      </c>
      <c r="F6">
        <v>0.03</v>
      </c>
      <c r="G6" s="8">
        <f t="shared" si="0"/>
        <v>6.9127022309300552E-3</v>
      </c>
      <c r="H6" s="8">
        <f t="shared" si="1"/>
        <v>6.3484213801378421E-3</v>
      </c>
    </row>
    <row r="7" spans="1:17">
      <c r="A7" s="3" t="s">
        <v>14</v>
      </c>
      <c r="B7" s="35" t="s">
        <v>15</v>
      </c>
      <c r="C7" s="34">
        <f>IF(C25="Ascending",('Shock Setup'!B2+C3)*VLOOKUP(C26,'Weight Bias'!A11:K15,9,FALSE),( 'Shock Setup'!B2+C3)*VLOOKUP(C26,'Weight Bias'!A3:K7,9,FALSE))</f>
        <v>67.829999998670004</v>
      </c>
      <c r="D7" s="36" t="s">
        <v>6</v>
      </c>
      <c r="F7">
        <v>0.04</v>
      </c>
      <c r="G7" s="8">
        <f t="shared" si="0"/>
        <v>8.4440168744201669E-3</v>
      </c>
      <c r="H7" s="8">
        <f t="shared" si="1"/>
        <v>7.5035633105263854E-3</v>
      </c>
    </row>
    <row r="8" spans="1:17">
      <c r="A8" s="3" t="s">
        <v>16</v>
      </c>
      <c r="B8" s="3" t="s">
        <v>17</v>
      </c>
      <c r="C8" s="38">
        <v>14400</v>
      </c>
      <c r="D8" s="3" t="s">
        <v>18</v>
      </c>
      <c r="F8">
        <v>0.05</v>
      </c>
      <c r="G8" s="8">
        <f t="shared" si="0"/>
        <v>9.5535026876977305E-3</v>
      </c>
      <c r="H8" s="8">
        <f t="shared" si="1"/>
        <v>8.1929343769499806E-3</v>
      </c>
    </row>
    <row r="9" spans="1:17">
      <c r="A9" s="3" t="s">
        <v>19</v>
      </c>
      <c r="B9" s="3" t="s">
        <v>20</v>
      </c>
      <c r="C9" s="1">
        <v>30000</v>
      </c>
      <c r="D9" s="3" t="s">
        <v>18</v>
      </c>
      <c r="F9">
        <v>0.06</v>
      </c>
      <c r="G9" s="8">
        <f t="shared" si="0"/>
        <v>1.0243339386802355E-2</v>
      </c>
      <c r="H9" s="8">
        <f t="shared" si="1"/>
        <v>8.4521357277595657E-3</v>
      </c>
    </row>
    <row r="10" spans="1:17">
      <c r="A10" s="3" t="s">
        <v>21</v>
      </c>
      <c r="B10" s="4" t="s">
        <v>22</v>
      </c>
      <c r="C10" s="1">
        <v>400</v>
      </c>
      <c r="D10" s="3" t="s">
        <v>23</v>
      </c>
      <c r="F10">
        <v>7.0000000000000007E-2</v>
      </c>
      <c r="G10" s="8">
        <f t="shared" si="0"/>
        <v>1.0529432701333021E-2</v>
      </c>
      <c r="H10" s="8">
        <f t="shared" si="1"/>
        <v>8.329513050648777E-3</v>
      </c>
    </row>
    <row r="11" spans="1:17">
      <c r="A11" s="3" t="s">
        <v>24</v>
      </c>
      <c r="B11" s="4" t="s">
        <v>25</v>
      </c>
      <c r="C11" s="1">
        <v>1000</v>
      </c>
      <c r="D11" s="3" t="s">
        <v>23</v>
      </c>
      <c r="F11">
        <v>0.08</v>
      </c>
      <c r="G11" s="8">
        <f t="shared" si="0"/>
        <v>1.043961739025681E-2</v>
      </c>
      <c r="H11" s="8">
        <f t="shared" si="1"/>
        <v>7.8824288359161995E-3</v>
      </c>
    </row>
    <row r="12" spans="1:17">
      <c r="A12" s="3" t="s">
        <v>26</v>
      </c>
      <c r="B12" s="4" t="s">
        <v>27</v>
      </c>
      <c r="C12" s="7">
        <f>C10/(2*SQRT(C6*C8))</f>
        <v>0.25956257994049209</v>
      </c>
      <c r="D12" s="3" t="s">
        <v>28</v>
      </c>
      <c r="F12">
        <v>0.09</v>
      </c>
      <c r="G12" s="8">
        <f t="shared" si="0"/>
        <v>1.0011630498141369E-2</v>
      </c>
      <c r="H12" s="8">
        <f t="shared" si="1"/>
        <v>7.1736761898024293E-3</v>
      </c>
    </row>
    <row r="13" spans="1:17">
      <c r="A13" s="3" t="s">
        <v>29</v>
      </c>
      <c r="B13" s="4" t="s">
        <v>30</v>
      </c>
      <c r="C13" s="7">
        <f>C11/(2*SQRT(C7*C9))</f>
        <v>0.35050843072638316</v>
      </c>
      <c r="D13" s="3" t="s">
        <v>28</v>
      </c>
      <c r="F13">
        <v>0.1</v>
      </c>
      <c r="G13" s="8">
        <f t="shared" si="0"/>
        <v>9.2909433598934669E-3</v>
      </c>
      <c r="H13" s="8">
        <f t="shared" si="1"/>
        <v>6.2681617252597494E-3</v>
      </c>
    </row>
    <row r="14" spans="1:17">
      <c r="A14" s="3" t="s">
        <v>31</v>
      </c>
      <c r="B14" s="4" t="s">
        <v>32</v>
      </c>
      <c r="C14" s="7">
        <f>SQRT(C8/C6)</f>
        <v>18.688505755715429</v>
      </c>
      <c r="D14" s="3" t="s">
        <v>33</v>
      </c>
      <c r="F14">
        <v>0.11</v>
      </c>
      <c r="G14" s="8">
        <f t="shared" si="0"/>
        <v>8.3285373666345079E-3</v>
      </c>
      <c r="H14" s="8">
        <f t="shared" si="1"/>
        <v>5.2299565522897773E-3</v>
      </c>
    </row>
    <row r="15" spans="1:17">
      <c r="A15" s="3" t="s">
        <v>34</v>
      </c>
      <c r="B15" s="4" t="s">
        <v>35</v>
      </c>
      <c r="C15" s="7">
        <f>SQRT(C9/C7)</f>
        <v>21.03050584358299</v>
      </c>
      <c r="D15" s="3" t="s">
        <v>33</v>
      </c>
      <c r="F15">
        <v>0.12</v>
      </c>
      <c r="G15" s="8">
        <f t="shared" si="0"/>
        <v>7.1787025116319975E-3</v>
      </c>
      <c r="H15" s="8">
        <f t="shared" si="1"/>
        <v>4.1197857350582208E-3</v>
      </c>
    </row>
    <row r="16" spans="1:17">
      <c r="A16" s="3" t="s">
        <v>36</v>
      </c>
      <c r="B16" s="3" t="s">
        <v>37</v>
      </c>
      <c r="C16" s="1">
        <v>0.28000000000000003</v>
      </c>
      <c r="D16" s="3" t="s">
        <v>38</v>
      </c>
      <c r="F16">
        <v>0.13</v>
      </c>
      <c r="G16" s="8">
        <f t="shared" si="0"/>
        <v>5.8969296731443566E-3</v>
      </c>
      <c r="H16" s="8">
        <f t="shared" si="1"/>
        <v>2.9929989729133299E-3</v>
      </c>
    </row>
    <row r="17" spans="1:8">
      <c r="A17" s="3" t="s">
        <v>39</v>
      </c>
      <c r="B17" s="3" t="s">
        <v>40</v>
      </c>
      <c r="C17" s="1">
        <v>0</v>
      </c>
      <c r="D17" s="3" t="s">
        <v>11</v>
      </c>
      <c r="E17" s="44">
        <v>0.03</v>
      </c>
      <c r="F17">
        <v>0.14000000000000001</v>
      </c>
      <c r="G17" s="8">
        <f t="shared" si="0"/>
        <v>4.5379579194305339E-3</v>
      </c>
      <c r="H17" s="8">
        <f t="shared" si="1"/>
        <v>1.8980396851910931E-3</v>
      </c>
    </row>
    <row r="18" spans="1:8">
      <c r="A18" s="3" t="s">
        <v>41</v>
      </c>
      <c r="B18" s="3" t="s">
        <v>42</v>
      </c>
      <c r="C18" s="1">
        <v>0</v>
      </c>
      <c r="D18" s="3" t="s">
        <v>11</v>
      </c>
      <c r="E18" s="44">
        <v>1.4999999999999999E-2</v>
      </c>
      <c r="F18">
        <v>0.15</v>
      </c>
      <c r="G18" s="8">
        <f t="shared" si="0"/>
        <v>3.1540273098298343E-3</v>
      </c>
      <c r="H18" s="8">
        <f t="shared" si="1"/>
        <v>8.7540690456511911E-4</v>
      </c>
    </row>
    <row r="19" spans="1:8">
      <c r="A19" s="9" t="s">
        <v>43</v>
      </c>
      <c r="B19" s="9" t="s">
        <v>44</v>
      </c>
      <c r="C19" s="10">
        <f>C16/C24</f>
        <v>0.11200000000000002</v>
      </c>
      <c r="D19" s="9" t="s">
        <v>38</v>
      </c>
      <c r="F19">
        <v>0.16</v>
      </c>
      <c r="G19" s="8">
        <f t="shared" si="0"/>
        <v>1.7933761789233453E-3</v>
      </c>
      <c r="H19" s="8">
        <f t="shared" si="1"/>
        <v>-4.2915040284273494E-5</v>
      </c>
    </row>
    <row r="20" spans="1:8">
      <c r="A20" s="3" t="s">
        <v>45</v>
      </c>
      <c r="B20" s="3" t="s">
        <v>46</v>
      </c>
      <c r="C20" s="7">
        <f>IF(C12&gt;1.0001,C14*SQRT(C12^2-1),IF(C12&lt;0.9999,C14*SQRT(1-C12^2),1))</f>
        <v>18.047981328118652</v>
      </c>
      <c r="D20" s="3" t="s">
        <v>33</v>
      </c>
      <c r="F20">
        <v>0.17</v>
      </c>
      <c r="G20" s="8">
        <f t="shared" si="0"/>
        <v>4.990101720408188E-4</v>
      </c>
      <c r="H20" s="8">
        <f t="shared" si="1"/>
        <v>-8.3359980828240333E-4</v>
      </c>
    </row>
    <row r="21" spans="1:8">
      <c r="A21" s="3" t="s">
        <v>47</v>
      </c>
      <c r="B21" s="3" t="s">
        <v>48</v>
      </c>
      <c r="C21" s="7">
        <f>IF(C13&gt;1.0001,C15*SQRT(C13^2-1),IF(C13&lt;0.9999,C15*SQRT(1-C13^2),1))</f>
        <v>19.696321642583115</v>
      </c>
      <c r="D21" s="3" t="s">
        <v>33</v>
      </c>
      <c r="F21">
        <v>0.18</v>
      </c>
      <c r="G21" s="8">
        <f t="shared" si="0"/>
        <v>-6.9224123985969386E-4</v>
      </c>
      <c r="H21" s="8">
        <f t="shared" si="1"/>
        <v>-1.481747960962475E-3</v>
      </c>
    </row>
    <row r="22" spans="1:8">
      <c r="A22" s="3" t="s">
        <v>49</v>
      </c>
      <c r="B22" s="3" t="s">
        <v>50</v>
      </c>
      <c r="C22" s="1">
        <v>0.15</v>
      </c>
      <c r="D22" s="3" t="s">
        <v>11</v>
      </c>
      <c r="F22">
        <v>0.19</v>
      </c>
      <c r="G22" s="8">
        <f t="shared" si="0"/>
        <v>-1.7503760331377878E-3</v>
      </c>
      <c r="H22" s="8">
        <f t="shared" si="1"/>
        <v>-1.980342293227222E-3</v>
      </c>
    </row>
    <row r="23" spans="1:8">
      <c r="A23" s="3" t="s">
        <v>51</v>
      </c>
      <c r="B23" s="3" t="s">
        <v>52</v>
      </c>
      <c r="C23" s="1">
        <v>0.05</v>
      </c>
      <c r="D23" s="3" t="s">
        <v>11</v>
      </c>
      <c r="F23">
        <v>0.2</v>
      </c>
      <c r="G23" s="8">
        <f t="shared" si="0"/>
        <v>-2.6525840951319851E-3</v>
      </c>
      <c r="H23" s="8">
        <f t="shared" si="1"/>
        <v>-2.3294548801458476E-3</v>
      </c>
    </row>
    <row r="24" spans="1:8">
      <c r="A24" s="3" t="s">
        <v>53</v>
      </c>
      <c r="B24" s="3" t="s">
        <v>54</v>
      </c>
      <c r="C24" s="1">
        <v>2.5</v>
      </c>
      <c r="D24" s="3" t="s">
        <v>55</v>
      </c>
      <c r="F24">
        <v>0.21</v>
      </c>
      <c r="G24" s="8">
        <f t="shared" si="0"/>
        <v>-3.383339300665381E-3</v>
      </c>
      <c r="H24" s="8">
        <f t="shared" si="1"/>
        <v>-2.5352723615213991E-3</v>
      </c>
    </row>
    <row r="25" spans="1:8">
      <c r="A25" s="3" t="s">
        <v>56</v>
      </c>
      <c r="B25" s="3" t="s">
        <v>57</v>
      </c>
      <c r="C25" s="1" t="s">
        <v>82</v>
      </c>
      <c r="D25" s="3" t="s">
        <v>55</v>
      </c>
      <c r="F25">
        <v>0.22</v>
      </c>
      <c r="G25" s="8">
        <f t="shared" si="0"/>
        <v>-3.9342413302029889E-3</v>
      </c>
      <c r="H25" s="8">
        <f t="shared" si="1"/>
        <v>-2.6090043145170104E-3</v>
      </c>
    </row>
    <row r="26" spans="1:8">
      <c r="A26" s="3" t="s">
        <v>59</v>
      </c>
      <c r="B26" s="3" t="s">
        <v>60</v>
      </c>
      <c r="C26" s="16">
        <v>0</v>
      </c>
      <c r="D26" s="3"/>
      <c r="F26">
        <v>0.23</v>
      </c>
      <c r="G26" s="8">
        <f t="shared" si="0"/>
        <v>-4.3036356181699277E-3</v>
      </c>
      <c r="H26" s="8">
        <f t="shared" si="1"/>
        <v>-2.5657354653030448E-3</v>
      </c>
    </row>
    <row r="27" spans="1:8">
      <c r="A27" s="3" t="s">
        <v>62</v>
      </c>
      <c r="B27" s="3" t="s">
        <v>63</v>
      </c>
      <c r="C27" s="15">
        <f>IF(C25="Ascending",VLOOKUP(C26,'Weight Bias'!A11:K15,6,FALSE), VLOOKUP(C26,'Weight Bias'!A3:K7,6,FALSE))</f>
        <v>37.804878049999999</v>
      </c>
      <c r="D27" s="3" t="s">
        <v>64</v>
      </c>
      <c r="F27">
        <v>0.24</v>
      </c>
      <c r="G27" s="8">
        <f t="shared" si="0"/>
        <v>-4.4960445587010622E-3</v>
      </c>
      <c r="H27" s="8">
        <f t="shared" si="1"/>
        <v>-2.4232764642365093E-3</v>
      </c>
    </row>
    <row r="28" spans="1:8">
      <c r="A28" s="3" t="s">
        <v>65</v>
      </c>
      <c r="B28" s="3" t="s">
        <v>66</v>
      </c>
      <c r="C28" s="15">
        <f>IF(C25="Ascending",VLOOKUP(C26,'Weight Bias'!A11:K15,7,FALSE), VLOOKUP(C26,'Weight Bias'!A3:K7,7,FALSE))</f>
        <v>62.195121950000001</v>
      </c>
      <c r="D28" s="3" t="s">
        <v>64</v>
      </c>
      <c r="F28">
        <v>0.25</v>
      </c>
      <c r="G28" s="8">
        <f t="shared" si="0"/>
        <v>-4.5214462972656541E-3</v>
      </c>
      <c r="H28" s="8">
        <f t="shared" si="1"/>
        <v>-2.2010605065804936E-3</v>
      </c>
    </row>
    <row r="29" spans="1:8">
      <c r="F29">
        <v>0.26</v>
      </c>
      <c r="G29" s="8">
        <f t="shared" si="0"/>
        <v>-4.3944391361172494E-3</v>
      </c>
      <c r="H29" s="8">
        <f t="shared" si="1"/>
        <v>-1.9191247212483344E-3</v>
      </c>
    </row>
    <row r="30" spans="1:8">
      <c r="F30">
        <v>0.27</v>
      </c>
      <c r="G30" s="8">
        <f t="shared" si="0"/>
        <v>-4.1333298617978803E-3</v>
      </c>
      <c r="H30" s="8">
        <f t="shared" si="1"/>
        <v>-1.5972064417146556E-3</v>
      </c>
    </row>
    <row r="31" spans="1:8">
      <c r="F31">
        <v>0.28000000000000003</v>
      </c>
      <c r="G31" s="8">
        <f t="shared" si="0"/>
        <v>-3.759183285895295E-3</v>
      </c>
      <c r="H31" s="8">
        <f t="shared" si="1"/>
        <v>-1.2539756384835022E-3</v>
      </c>
    </row>
    <row r="32" spans="1:8">
      <c r="F32">
        <v>0.28999999999999998</v>
      </c>
      <c r="G32" s="8">
        <f t="shared" si="0"/>
        <v>-3.2948681296143781E-3</v>
      </c>
      <c r="H32" s="8">
        <f t="shared" si="1"/>
        <v>-9.0641629693279894E-4</v>
      </c>
    </row>
    <row r="33" spans="6:8">
      <c r="F33">
        <v>0.3</v>
      </c>
      <c r="G33" s="8">
        <f t="shared" si="0"/>
        <v>-2.7641312559244643E-3</v>
      </c>
      <c r="H33" s="8">
        <f t="shared" si="1"/>
        <v>-5.693616695447726E-4</v>
      </c>
    </row>
    <row r="34" spans="6:8">
      <c r="F34">
        <v>0.31</v>
      </c>
      <c r="G34" s="8">
        <f t="shared" si="0"/>
        <v>-2.1907283531875611E-3</v>
      </c>
      <c r="H34" s="8">
        <f t="shared" si="1"/>
        <v>-2.5518135147234059E-4</v>
      </c>
    </row>
    <row r="35" spans="6:8">
      <c r="F35">
        <v>0.32</v>
      </c>
      <c r="G35" s="8">
        <f t="shared" si="0"/>
        <v>-1.5976347021651686E-3</v>
      </c>
      <c r="H35" s="8">
        <f t="shared" si="1"/>
        <v>2.63878108432538E-5</v>
      </c>
    </row>
    <row r="36" spans="6:8">
      <c r="F36">
        <v>0.33</v>
      </c>
      <c r="G36" s="8">
        <f t="shared" si="0"/>
        <v>-1.0063548154638218E-3</v>
      </c>
      <c r="H36" s="8">
        <f t="shared" si="1"/>
        <v>2.6827976603139848E-4</v>
      </c>
    </row>
    <row r="37" spans="6:8">
      <c r="F37">
        <v>0.34</v>
      </c>
      <c r="G37" s="8">
        <f t="shared" si="0"/>
        <v>-4.3634471982474741E-4</v>
      </c>
      <c r="H37" s="8">
        <f t="shared" si="1"/>
        <v>4.6602266330783457E-4</v>
      </c>
    </row>
    <row r="38" spans="6:8">
      <c r="F38">
        <v>0.35</v>
      </c>
      <c r="G38" s="8">
        <f t="shared" si="0"/>
        <v>9.5444359990702209E-5</v>
      </c>
      <c r="H38" s="8">
        <f t="shared" si="1"/>
        <v>6.1756646969713443E-4</v>
      </c>
    </row>
    <row r="39" spans="6:8">
      <c r="F39">
        <v>0.36</v>
      </c>
      <c r="G39" s="8">
        <f t="shared" si="0"/>
        <v>5.7489699593899055E-4</v>
      </c>
      <c r="H39" s="8">
        <f t="shared" si="1"/>
        <v>7.2303499186036099E-4</v>
      </c>
    </row>
    <row r="40" spans="6:8">
      <c r="F40">
        <v>0.37</v>
      </c>
      <c r="G40" s="8">
        <f t="shared" si="0"/>
        <v>9.9093983193007684E-4</v>
      </c>
      <c r="H40" s="8">
        <f t="shared" si="1"/>
        <v>7.8442282471960761E-4</v>
      </c>
    </row>
    <row r="41" spans="6:8">
      <c r="F41">
        <v>0.38</v>
      </c>
      <c r="G41" s="8">
        <f t="shared" si="0"/>
        <v>1.3356278250467794E-3</v>
      </c>
      <c r="H41" s="8">
        <f t="shared" si="1"/>
        <v>8.0525719240804022E-4</v>
      </c>
    </row>
    <row r="42" spans="6:8">
      <c r="F42">
        <v>0.39</v>
      </c>
      <c r="G42" s="8">
        <f t="shared" si="0"/>
        <v>1.60411868877312E-3</v>
      </c>
      <c r="H42" s="8">
        <f t="shared" si="1"/>
        <v>7.9024334870410307E-4</v>
      </c>
    </row>
    <row r="43" spans="6:8">
      <c r="F43">
        <v>0.4</v>
      </c>
      <c r="G43" s="8">
        <f t="shared" si="0"/>
        <v>1.7945467231748713E-3</v>
      </c>
      <c r="H43" s="8">
        <f t="shared" si="1"/>
        <v>7.4491031889691972E-4</v>
      </c>
    </row>
    <row r="44" spans="6:8">
      <c r="F44">
        <v>0.41</v>
      </c>
      <c r="G44" s="8">
        <f t="shared" si="0"/>
        <v>1.9078095220265504E-3</v>
      </c>
      <c r="H44" s="8">
        <f t="shared" si="1"/>
        <v>6.7527145065722808E-4</v>
      </c>
    </row>
    <row r="45" spans="6:8">
      <c r="F45">
        <v>0.42</v>
      </c>
      <c r="G45" s="8">
        <f t="shared" si="0"/>
        <v>1.9472826910937218E-3</v>
      </c>
      <c r="H45" s="8">
        <f t="shared" si="1"/>
        <v>5.8751165160422455E-4</v>
      </c>
    </row>
    <row r="46" spans="6:8">
      <c r="F46">
        <v>0.43</v>
      </c>
      <c r="G46" s="8">
        <f t="shared" si="0"/>
        <v>1.9184787016886587E-3</v>
      </c>
      <c r="H46" s="8">
        <f t="shared" si="1"/>
        <v>4.8771046973979251E-4</v>
      </c>
    </row>
    <row r="47" spans="6:8">
      <c r="F47">
        <v>0.44</v>
      </c>
      <c r="G47" s="8">
        <f t="shared" si="0"/>
        <v>1.8286663668643634E-3</v>
      </c>
      <c r="H47" s="8">
        <f t="shared" si="1"/>
        <v>3.8160744931542179E-4</v>
      </c>
    </row>
    <row r="48" spans="6:8">
      <c r="F48">
        <v>0.45</v>
      </c>
      <c r="G48" s="8">
        <f t="shared" si="0"/>
        <v>1.6864672100813929E-3</v>
      </c>
      <c r="H48" s="8">
        <f t="shared" si="1"/>
        <v>2.7441358087919743E-4</v>
      </c>
    </row>
    <row r="49" spans="6:8">
      <c r="F49">
        <v>0.46</v>
      </c>
      <c r="G49" s="8">
        <f t="shared" si="0"/>
        <v>1.5014442587918506E-3</v>
      </c>
      <c r="H49" s="8">
        <f t="shared" si="1"/>
        <v>1.7067025226257307E-4</v>
      </c>
    </row>
    <row r="50" spans="6:8">
      <c r="F50">
        <v>0.47</v>
      </c>
      <c r="G50" s="8">
        <f t="shared" si="0"/>
        <v>1.2836976106738681E-3</v>
      </c>
      <c r="H50" s="8">
        <f t="shared" si="1"/>
        <v>7.4154968265307229E-5</v>
      </c>
    </row>
    <row r="51" spans="6:8">
      <c r="F51">
        <v>0.48</v>
      </c>
      <c r="G51" s="8">
        <f t="shared" si="0"/>
        <v>1.0434795688957074E-3</v>
      </c>
      <c r="H51" s="8">
        <f t="shared" si="1"/>
        <v>-1.2168709000111868E-5</v>
      </c>
    </row>
    <row r="52" spans="6:8">
      <c r="F52">
        <v>0.49</v>
      </c>
      <c r="G52" s="8">
        <f t="shared" si="0"/>
        <v>7.9084031017804786E-4</v>
      </c>
      <c r="H52" s="8">
        <f t="shared" si="1"/>
        <v>-8.6161009643953188E-5</v>
      </c>
    </row>
    <row r="53" spans="6:8">
      <c r="F53">
        <v>0.5</v>
      </c>
      <c r="G53" s="8">
        <f t="shared" si="0"/>
        <v>5.3531302238240457E-4</v>
      </c>
      <c r="H53" s="8">
        <f t="shared" si="1"/>
        <v>-1.4648070366603638E-4</v>
      </c>
    </row>
    <row r="54" spans="6:8">
      <c r="F54">
        <v>0.51</v>
      </c>
      <c r="G54" s="8">
        <f t="shared" si="0"/>
        <v>2.8564531213453654E-4</v>
      </c>
      <c r="H54" s="8">
        <f t="shared" si="1"/>
        <v>-1.9253059295730685E-4</v>
      </c>
    </row>
    <row r="55" spans="6:8">
      <c r="F55">
        <v>0.52</v>
      </c>
      <c r="G55" s="8">
        <f t="shared" si="0"/>
        <v>4.9581518586488779E-5</v>
      </c>
      <c r="H55" s="8">
        <f t="shared" si="1"/>
        <v>-2.2437999111119827E-4</v>
      </c>
    </row>
    <row r="56" spans="6:8">
      <c r="F56">
        <v>0.53</v>
      </c>
      <c r="G56" s="8">
        <f t="shared" si="0"/>
        <v>-1.6630154873065929E-4</v>
      </c>
      <c r="H56" s="8">
        <f t="shared" si="1"/>
        <v>-2.4267052153272803E-4</v>
      </c>
    </row>
    <row r="57" spans="6:8">
      <c r="F57">
        <v>0.54</v>
      </c>
      <c r="G57" s="8">
        <f t="shared" si="0"/>
        <v>-3.5670493588752232E-4</v>
      </c>
      <c r="H57" s="8">
        <f t="shared" si="1"/>
        <v>-2.4851138005134703E-4</v>
      </c>
    </row>
    <row r="58" spans="6:8">
      <c r="F58">
        <v>0.55000000000000004</v>
      </c>
      <c r="G58" s="8">
        <f t="shared" si="0"/>
        <v>-5.1766525970440051E-4</v>
      </c>
      <c r="H58" s="8">
        <f t="shared" si="1"/>
        <v>-2.4336979740472686E-4</v>
      </c>
    </row>
    <row r="59" spans="6:8">
      <c r="F59">
        <v>0.56000000000000005</v>
      </c>
      <c r="G59" s="8">
        <f t="shared" si="0"/>
        <v>-6.4656276093867562E-4</v>
      </c>
      <c r="H59" s="8">
        <f t="shared" si="1"/>
        <v>-2.2896184745269837E-4</v>
      </c>
    </row>
    <row r="60" spans="6:8">
      <c r="F60">
        <v>0.56999999999999995</v>
      </c>
      <c r="G60" s="8">
        <f t="shared" si="0"/>
        <v>-7.4208401994216441E-4</v>
      </c>
      <c r="H60" s="8">
        <f t="shared" si="1"/>
        <v>-2.0714802744741117E-4</v>
      </c>
    </row>
    <row r="61" spans="6:8">
      <c r="F61">
        <v>0.57999999999999996</v>
      </c>
      <c r="G61" s="8">
        <f t="shared" si="0"/>
        <v>-8.0414476407291477E-4</v>
      </c>
      <c r="H61" s="8">
        <f t="shared" si="1"/>
        <v>-1.7983723443073369E-4</v>
      </c>
    </row>
    <row r="62" spans="6:8">
      <c r="F62">
        <v>0.59</v>
      </c>
      <c r="G62" s="8">
        <f t="shared" si="0"/>
        <v>-8.3377901865573775E-4</v>
      </c>
      <c r="H62" s="8">
        <f t="shared" si="1"/>
        <v>-1.4890192106141814E-4</v>
      </c>
    </row>
    <row r="63" spans="6:8">
      <c r="F63">
        <v>0.6</v>
      </c>
      <c r="G63" s="8">
        <f t="shared" si="0"/>
        <v>-8.3300139225904837E-4</v>
      </c>
      <c r="H63" s="8">
        <f t="shared" si="1"/>
        <v>-1.1610637461911476E-4</v>
      </c>
    </row>
    <row r="64" spans="6:8">
      <c r="F64">
        <v>0.61</v>
      </c>
      <c r="G64" s="8">
        <f t="shared" si="0"/>
        <v>-8.0464955082001541E-4</v>
      </c>
      <c r="H64" s="8">
        <f t="shared" si="1"/>
        <v>-8.3049258821247323E-5</v>
      </c>
    </row>
    <row r="65" spans="6:8">
      <c r="F65">
        <v>0.62</v>
      </c>
      <c r="G65" s="8">
        <f t="shared" si="0"/>
        <v>-7.522139403972869E-4</v>
      </c>
      <c r="H65" s="8">
        <f t="shared" si="1"/>
        <v>-5.1120817508896819E-5</v>
      </c>
    </row>
    <row r="66" spans="6:8">
      <c r="F66">
        <v>0.63</v>
      </c>
      <c r="G66" s="8">
        <f t="shared" si="0"/>
        <v>-6.7966158878880138E-4</v>
      </c>
      <c r="H66" s="8">
        <f t="shared" si="1"/>
        <v>-2.1474483843088612E-5</v>
      </c>
    </row>
    <row r="67" spans="6:8">
      <c r="F67">
        <v>0.64</v>
      </c>
      <c r="G67" s="8">
        <f t="shared" si="0"/>
        <v>-5.9126038124792822E-4</v>
      </c>
      <c r="H67" s="8">
        <f t="shared" si="1"/>
        <v>4.9879164176320101E-6</v>
      </c>
    </row>
    <row r="68" spans="6:8">
      <c r="F68">
        <v>0.65</v>
      </c>
      <c r="G68" s="8">
        <f t="shared" si="0"/>
        <v>-4.9140959849850591E-4</v>
      </c>
      <c r="H68" s="8">
        <f t="shared" si="1"/>
        <v>2.761862472652336E-5</v>
      </c>
    </row>
    <row r="69" spans="6:8">
      <c r="F69">
        <v>0.66</v>
      </c>
      <c r="G69" s="8">
        <f t="shared" ref="G69:G103" si="2">IF($G$3="Overdamped",EXP(-$C$12*$C$14*F69)*((($C$16+($C$12*$C$14+$C$20)*$C$17)/2*$C$20)*EXP($C$20*F69)-(($C$16+($C$12*$C$14-$C$20)*$C$17)/2*$C$20)*EXP(-$C$20*F69)),IF($G$3="Underdamped",EXP(-$C$12*$C$14*F69)*($C$17*COS($C$20*F69)+(($C$16+$C$12*$C$14*$C$17)/$C$20)*SIN($C$20*F69)),($C$17+($C$16+$C$14*$C$17)*F69)*EXP(-$C$14*F69)))</f>
        <v>-3.8448176224040881E-4</v>
      </c>
      <c r="H69" s="8">
        <f t="shared" ref="H69:H103" si="3">IF($H$3="Overdamped",EXP(-$C$13*$C$15*F69)*((($C$16+($C$13*$C$15+$C$21)*$C$18)/2*$C$21)*EXP($C$21*F69)-(($C$16+($C$13*$C$15-$C$21)*$C$18)/2*$C$21)*EXP(-$C$21*F69)),IF($H$3="Underdamped",EXP(-$C$13*$C$15*F69)*($C$18*COS($C$21*F69)+(($C$16+$C$13*$C$15*$C$18)/$C$21)*SIN($C$21*F69)),($C$18+($C$16+$C$15*$C$18)*F69)*EXP(-$C$15*F69)))</f>
        <v>4.6015662944795189E-5</v>
      </c>
    </row>
    <row r="70" spans="6:8">
      <c r="F70">
        <v>0.67</v>
      </c>
      <c r="G70" s="8">
        <f t="shared" si="2"/>
        <v>-2.7467999158368214E-4</v>
      </c>
      <c r="H70" s="8">
        <f t="shared" si="3"/>
        <v>6.000561253579048E-5</v>
      </c>
    </row>
    <row r="71" spans="6:8">
      <c r="F71">
        <v>0.68</v>
      </c>
      <c r="G71" s="8">
        <f t="shared" si="2"/>
        <v>-1.6591417041751671E-4</v>
      </c>
      <c r="H71" s="8">
        <f t="shared" si="3"/>
        <v>6.9619389941539642E-5</v>
      </c>
    </row>
    <row r="72" spans="6:8">
      <c r="F72">
        <v>0.69</v>
      </c>
      <c r="G72" s="8">
        <f t="shared" si="2"/>
        <v>-6.169829629668439E-5</v>
      </c>
      <c r="H72" s="8">
        <f t="shared" si="3"/>
        <v>7.5062970700912277E-5</v>
      </c>
    </row>
    <row r="73" spans="6:8">
      <c r="F73">
        <v>0.7</v>
      </c>
      <c r="G73" s="8">
        <f t="shared" si="2"/>
        <v>3.4929540738071701E-5</v>
      </c>
      <c r="H73" s="8">
        <f t="shared" si="3"/>
        <v>7.6684954177750958E-5</v>
      </c>
    </row>
    <row r="74" spans="6:8">
      <c r="F74">
        <v>0.71</v>
      </c>
      <c r="G74" s="8">
        <f t="shared" si="2"/>
        <v>1.2146398596342381E-4</v>
      </c>
      <c r="H74" s="8">
        <f t="shared" si="3"/>
        <v>7.4942730883650749E-5</v>
      </c>
    </row>
    <row r="75" spans="6:8">
      <c r="F75">
        <v>0.72</v>
      </c>
      <c r="G75" s="8">
        <f t="shared" si="2"/>
        <v>1.9596631280847473E-4</v>
      </c>
      <c r="H75" s="8">
        <f t="shared" si="3"/>
        <v>7.0368830109511838E-5</v>
      </c>
    </row>
    <row r="76" spans="6:8">
      <c r="F76">
        <v>0.73</v>
      </c>
      <c r="G76" s="8">
        <f t="shared" si="2"/>
        <v>2.5707637641553022E-4</v>
      </c>
      <c r="H76" s="8">
        <f t="shared" si="3"/>
        <v>6.3538801927508394E-5</v>
      </c>
    </row>
    <row r="77" spans="6:8">
      <c r="F77">
        <v>0.74</v>
      </c>
      <c r="G77" s="8">
        <f t="shared" si="2"/>
        <v>3.0400425969256983E-4</v>
      </c>
      <c r="H77" s="8">
        <f t="shared" si="3"/>
        <v>5.5041739152267527E-5</v>
      </c>
    </row>
    <row r="78" spans="6:8">
      <c r="F78">
        <v>0.75</v>
      </c>
      <c r="G78" s="8">
        <f t="shared" si="2"/>
        <v>3.3650376672846624E-4</v>
      </c>
      <c r="H78" s="8">
        <f t="shared" si="3"/>
        <v>4.5454285139304748E-5</v>
      </c>
    </row>
    <row r="79" spans="6:8">
      <c r="F79">
        <v>0.76</v>
      </c>
      <c r="G79" s="8">
        <f t="shared" si="2"/>
        <v>3.54830321664242E-4</v>
      </c>
      <c r="H79" s="8">
        <f t="shared" si="3"/>
        <v>3.5318714531223973E-5</v>
      </c>
    </row>
    <row r="80" spans="6:8">
      <c r="F80">
        <v>0.77</v>
      </c>
      <c r="G80" s="8">
        <f t="shared" si="2"/>
        <v>3.5968611215482716E-4</v>
      </c>
      <c r="H80" s="8">
        <f t="shared" si="3"/>
        <v>2.5125426710565131E-5</v>
      </c>
    </row>
    <row r="81" spans="6:8">
      <c r="F81">
        <v>0.78</v>
      </c>
      <c r="G81" s="8">
        <f t="shared" si="2"/>
        <v>3.5215547738536387E-4</v>
      </c>
      <c r="H81" s="8">
        <f t="shared" si="3"/>
        <v>1.529996435194195E-5</v>
      </c>
    </row>
    <row r="82" spans="6:8">
      <c r="F82">
        <v>0.79</v>
      </c>
      <c r="G82" s="8">
        <f t="shared" si="2"/>
        <v>3.3363358700103497E-4</v>
      </c>
      <c r="H82" s="8">
        <f t="shared" si="3"/>
        <v>6.194468661215787E-6</v>
      </c>
    </row>
    <row r="83" spans="6:8">
      <c r="F83">
        <v>0.8</v>
      </c>
      <c r="G83" s="8">
        <f t="shared" si="2"/>
        <v>3.0575139831042771E-4</v>
      </c>
      <c r="H83" s="8">
        <f t="shared" si="3"/>
        <v>-1.9166867677803924E-6</v>
      </c>
    </row>
    <row r="84" spans="6:8">
      <c r="F84">
        <v>0.81</v>
      </c>
      <c r="G84" s="8">
        <f t="shared" si="2"/>
        <v>2.7029972643231165E-4</v>
      </c>
      <c r="H84" s="8">
        <f t="shared" si="3"/>
        <v>-8.8374773765155303E-6</v>
      </c>
    </row>
    <row r="85" spans="6:8">
      <c r="F85">
        <v>0.82</v>
      </c>
      <c r="G85" s="8">
        <f t="shared" si="2"/>
        <v>2.2915502940457877E-4</v>
      </c>
      <c r="H85" s="8">
        <f t="shared" si="3"/>
        <v>-1.4447519313581506E-5</v>
      </c>
    </row>
    <row r="86" spans="6:8">
      <c r="F86">
        <v>0.83</v>
      </c>
      <c r="G86" s="8">
        <f t="shared" si="2"/>
        <v>1.8420921277644659E-4</v>
      </c>
      <c r="H86" s="8">
        <f t="shared" si="3"/>
        <v>-1.869663326085781E-5</v>
      </c>
    </row>
    <row r="87" spans="6:8">
      <c r="F87">
        <v>0.84</v>
      </c>
      <c r="G87" s="8">
        <f t="shared" si="2"/>
        <v>1.373054117300511E-4</v>
      </c>
      <c r="H87" s="8">
        <f t="shared" si="3"/>
        <v>-2.1597277059705372E-5</v>
      </c>
    </row>
    <row r="88" spans="6:8">
      <c r="F88">
        <v>0.85</v>
      </c>
      <c r="G88" s="8">
        <f t="shared" si="2"/>
        <v>9.0181329352626697E-5</v>
      </c>
      <c r="H88" s="8">
        <f t="shared" si="3"/>
        <v>-2.3215449315512125E-5</v>
      </c>
    </row>
    <row r="89" spans="6:8">
      <c r="F89">
        <v>0.86</v>
      </c>
      <c r="G89" s="8">
        <f t="shared" si="2"/>
        <v>4.4421312944731408E-5</v>
      </c>
      <c r="H89" s="8">
        <f t="shared" si="3"/>
        <v>-2.3660646261203803E-5</v>
      </c>
    </row>
    <row r="90" spans="6:8">
      <c r="F90">
        <v>0.87</v>
      </c>
      <c r="G90" s="8">
        <f t="shared" si="2"/>
        <v>1.417950970997278E-6</v>
      </c>
      <c r="H90" s="8">
        <f t="shared" si="3"/>
        <v>-2.3075413133376764E-5</v>
      </c>
    </row>
    <row r="91" spans="6:8">
      <c r="F91">
        <v>0.88</v>
      </c>
      <c r="G91" s="8">
        <f t="shared" si="2"/>
        <v>-3.76564150756431E-5</v>
      </c>
      <c r="H91" s="8">
        <f t="shared" si="3"/>
        <v>-2.1624973735711324E-5</v>
      </c>
    </row>
    <row r="92" spans="6:8">
      <c r="F92">
        <v>0.89</v>
      </c>
      <c r="G92" s="8">
        <f t="shared" si="2"/>
        <v>-7.1868235140940611E-5</v>
      </c>
      <c r="H92" s="8">
        <f t="shared" si="3"/>
        <v>-1.9487352361239079E-5</v>
      </c>
    </row>
    <row r="93" spans="6:8">
      <c r="F93">
        <v>0.9</v>
      </c>
      <c r="G93" s="8">
        <f t="shared" si="2"/>
        <v>-1.0053165532692385E-4</v>
      </c>
      <c r="H93" s="8">
        <f t="shared" si="3"/>
        <v>-1.6844325299981603E-5</v>
      </c>
    </row>
    <row r="94" spans="6:8">
      <c r="F94">
        <v>0.91</v>
      </c>
      <c r="G94" s="8">
        <f t="shared" si="2"/>
        <v>-1.2320837860871128E-4</v>
      </c>
      <c r="H94" s="8">
        <f t="shared" si="3"/>
        <v>-1.3873458944085998E-5</v>
      </c>
    </row>
    <row r="95" spans="6:8">
      <c r="F95">
        <v>0.92</v>
      </c>
      <c r="G95" s="8">
        <f t="shared" si="2"/>
        <v>-1.396993223740806E-4</v>
      </c>
      <c r="H95" s="8">
        <f t="shared" si="3"/>
        <v>-1.0741411753481901E-5</v>
      </c>
    </row>
    <row r="96" spans="6:8">
      <c r="F96">
        <v>0.93</v>
      </c>
      <c r="G96" s="8">
        <f t="shared" si="2"/>
        <v>-1.5002910811905679E-4</v>
      </c>
      <c r="H96" s="8">
        <f t="shared" si="3"/>
        <v>-7.5986012649056738E-6</v>
      </c>
    </row>
    <row r="97" spans="6:8">
      <c r="F97">
        <v>0.94</v>
      </c>
      <c r="G97" s="8">
        <f t="shared" si="2"/>
        <v>-1.5442456079713509E-4</v>
      </c>
      <c r="H97" s="8">
        <f t="shared" si="3"/>
        <v>-4.5752675300640397E-6</v>
      </c>
    </row>
    <row r="98" spans="6:8">
      <c r="F98">
        <v>0.95</v>
      </c>
      <c r="G98" s="8">
        <f t="shared" si="2"/>
        <v>-1.5328848526022183E-4</v>
      </c>
      <c r="H98" s="8">
        <f t="shared" si="3"/>
        <v>-1.7789028531468326E-6</v>
      </c>
    </row>
    <row r="99" spans="6:8">
      <c r="F99">
        <v>0.96</v>
      </c>
      <c r="G99" s="8">
        <f t="shared" si="2"/>
        <v>-1.4717002678959947E-4</v>
      </c>
      <c r="H99" s="8">
        <f t="shared" si="3"/>
        <v>7.0703415096533557E-7</v>
      </c>
    </row>
    <row r="100" spans="6:8">
      <c r="F100">
        <v>0.97</v>
      </c>
      <c r="G100" s="8">
        <f t="shared" si="2"/>
        <v>-1.3673291524035188E-4</v>
      </c>
      <c r="H100" s="8">
        <f t="shared" si="3"/>
        <v>2.8232435393811339E-6</v>
      </c>
    </row>
    <row r="101" spans="6:8">
      <c r="F101">
        <v>0.98</v>
      </c>
      <c r="G101" s="8">
        <f t="shared" si="2"/>
        <v>-1.2272284240962269E-4</v>
      </c>
      <c r="H101" s="8">
        <f t="shared" si="3"/>
        <v>4.5337020824412059E-6</v>
      </c>
    </row>
    <row r="102" spans="6:8">
      <c r="F102">
        <v>0.99</v>
      </c>
      <c r="G102" s="8">
        <f t="shared" si="2"/>
        <v>-1.0593513546818023E-4</v>
      </c>
      <c r="H102" s="8">
        <f t="shared" si="3"/>
        <v>5.8239485248259949E-6</v>
      </c>
    </row>
    <row r="103" spans="6:8">
      <c r="F103">
        <v>1</v>
      </c>
      <c r="G103" s="8">
        <f t="shared" si="2"/>
        <v>-8.7183771953654342E-5</v>
      </c>
      <c r="H103" s="8">
        <f t="shared" si="3"/>
        <v>6.6987204746754574E-6</v>
      </c>
    </row>
  </sheetData>
  <mergeCells count="1">
    <mergeCell ref="F1:H1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2C37074-0CB8-4739-BAD9-5A2077CB6C11}">
          <x14:formula1>
            <xm:f>'Weight Bias'!$A$3:$A$7</xm:f>
          </x14:formula1>
          <xm:sqref>C26</xm:sqref>
        </x14:dataValidation>
        <x14:dataValidation type="list" errorStyle="warning" allowBlank="1" showInputMessage="1" showErrorMessage="1" xr:uid="{D276C672-D323-4461-AE99-876D89997FAA}">
          <x14:formula1>
            <xm:f>'Weight Bias'!$N$3:$N$4</xm:f>
          </x14:formula1>
          <xm:sqref>C25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B3A83-D5FC-46C2-9FE3-4E14C762230B}">
  <sheetPr codeName="Sheet3"/>
  <dimension ref="A1:R103"/>
  <sheetViews>
    <sheetView workbookViewId="0">
      <selection activeCell="K34" sqref="K34"/>
    </sheetView>
  </sheetViews>
  <sheetFormatPr defaultColWidth="8.85546875" defaultRowHeight="15"/>
  <cols>
    <col min="1" max="1" width="23.140625" customWidth="1"/>
    <col min="2" max="2" width="5" customWidth="1"/>
    <col min="3" max="3" width="10.28515625" customWidth="1"/>
    <col min="7" max="7" width="12.42578125" bestFit="1" customWidth="1"/>
    <col min="8" max="8" width="13.85546875" bestFit="1" customWidth="1"/>
    <col min="15" max="15" width="24" bestFit="1" customWidth="1"/>
  </cols>
  <sheetData>
    <row r="1" spans="1:18">
      <c r="F1" s="51" t="s">
        <v>0</v>
      </c>
      <c r="G1" s="52"/>
      <c r="H1" s="52"/>
      <c r="O1" s="45" t="s">
        <v>159</v>
      </c>
      <c r="P1" s="45" t="s">
        <v>160</v>
      </c>
      <c r="Q1" s="45">
        <v>5.36</v>
      </c>
      <c r="R1" s="45" t="s">
        <v>38</v>
      </c>
    </row>
    <row r="2" spans="1:18">
      <c r="A2" s="2" t="s">
        <v>1</v>
      </c>
      <c r="B2" s="3"/>
      <c r="C2" s="3"/>
      <c r="D2" s="3"/>
      <c r="G2" t="s">
        <v>2</v>
      </c>
      <c r="H2" t="s">
        <v>3</v>
      </c>
      <c r="O2" s="45" t="s">
        <v>155</v>
      </c>
      <c r="P2" s="45" t="s">
        <v>156</v>
      </c>
      <c r="Q2" s="45">
        <v>5.0799999999999998E-2</v>
      </c>
      <c r="R2" s="45" t="s">
        <v>11</v>
      </c>
    </row>
    <row r="3" spans="1:18">
      <c r="A3" s="3" t="s">
        <v>4</v>
      </c>
      <c r="B3" s="3" t="s">
        <v>5</v>
      </c>
      <c r="C3" s="1">
        <v>14.06</v>
      </c>
      <c r="D3" s="3" t="s">
        <v>6</v>
      </c>
      <c r="F3" s="5" t="s">
        <v>7</v>
      </c>
      <c r="G3" s="6" t="str">
        <f>IF(C12&gt;1, "Overdamped",IF(C12&lt;1,"Underdamped","Critically Damped"))</f>
        <v>Underdamped</v>
      </c>
      <c r="H3" s="6" t="str">
        <f>IF(C13&gt;1, "Overdamped",IF(C13&lt;1,"Underdamped","Critically Damped"))</f>
        <v>Underdamped</v>
      </c>
      <c r="O3" s="45" t="s">
        <v>157</v>
      </c>
      <c r="P3" s="45" t="s">
        <v>158</v>
      </c>
      <c r="Q3" s="45">
        <v>1.76</v>
      </c>
      <c r="R3" s="45" t="s">
        <v>33</v>
      </c>
    </row>
    <row r="4" spans="1:18">
      <c r="A4" s="3" t="s">
        <v>8</v>
      </c>
      <c r="B4" s="3" t="s">
        <v>9</v>
      </c>
      <c r="C4" s="3">
        <f>'Shock Setup'!B2</f>
        <v>95</v>
      </c>
      <c r="D4" s="3" t="s">
        <v>6</v>
      </c>
      <c r="F4">
        <v>0.01</v>
      </c>
      <c r="G4" s="8">
        <f>IF($G$3="Overdamped",EXP(-$C$12*$C$14*F4)*((($C$16+($C$12*$C$14+$C$20)*$C$17)/2*$C$20)*EXP($C$20*F4)-(($C$16+($C$12*$C$14-$C$20)*$C$17)/2*$C$20)*EXP(-$C$20*F4)),IF($G$3="Underdamped",EXP(-$C$12*$C$14*F4)*($C$17*COS($C$20*F4)+(($C$16+$C$12*$C$14*$C$17)/$C$20)*SIN($C$20*F4)),($C$17+($C$16+$C$14*$C$17)*F4)*EXP(-$C$14*F4)))</f>
        <v>3.2865115752416557E-3</v>
      </c>
      <c r="H4" s="8">
        <f>IF($H$3="Overdamped",EXP(-$C$13*$C$15*F4)*((($C$16+($C$13*$C$15+$C$21)*$C$18)/2*$C$21)*EXP($C$21*F4)-(($C$16+($C$13*$C$15-$C$21)*$C$18)/2*$C$21)*EXP(-$C$21*F4)),IF($H$3="Underdamped",EXP(-$C$13*$C$15*F4)*($C$18*COS($C$21*F4)+(($C$16+$C$13*$C$15*$C$18)/$C$21)*SIN($C$21*F4)),($C$18+($C$16+$C$15*$C$18)*F4)*EXP(-$C$15*F4)))</f>
        <v>3.211326205819918E-3</v>
      </c>
      <c r="O4" s="46" t="s">
        <v>161</v>
      </c>
      <c r="P4" s="46" t="s">
        <v>162</v>
      </c>
      <c r="Q4" s="47"/>
      <c r="R4" s="46" t="s">
        <v>38</v>
      </c>
    </row>
    <row r="5" spans="1:18">
      <c r="A5" s="3" t="s">
        <v>10</v>
      </c>
      <c r="B5" s="3" t="s">
        <v>11</v>
      </c>
      <c r="C5" s="37">
        <f>C3+C4</f>
        <v>109.06</v>
      </c>
      <c r="D5" s="3" t="s">
        <v>6</v>
      </c>
      <c r="F5">
        <v>0.02</v>
      </c>
      <c r="G5" s="8">
        <f t="shared" ref="G5:G68" si="0">IF($G$3="Overdamped",EXP(-$C$12*$C$14*F5)*((($C$16+($C$12*$C$14+$C$20)*$C$17)/2*$C$20)*EXP($C$20*F5)-(($C$16+($C$12*$C$14-$C$20)*$C$17)/2*$C$20)*EXP(-$C$20*F5)),IF($G$3="Underdamped",EXP(-$C$12*$C$14*F5)*($C$17*COS($C$20*F5)+(($C$16+$C$12*$C$14*$C$17)/$C$20)*SIN($C$20*F5)),($C$17+($C$16+$C$14*$C$17)*F5)*EXP(-$C$14*F5)))</f>
        <v>6.1573439078681487E-3</v>
      </c>
      <c r="H5" s="8">
        <f t="shared" ref="H5:H68" si="1">IF($H$3="Overdamped",EXP(-$C$13*$C$15*F5)*((($C$16+($C$13*$C$15+$C$21)*$C$18)/2*$C$21)*EXP($C$21*F5)-(($C$16+($C$13*$C$15-$C$21)*$C$18)/2*$C$21)*EXP(-$C$21*F5)),IF($H$3="Underdamped",EXP(-$C$13*$C$15*F5)*($C$18*COS($C$21*F5)+(($C$16+$C$13*$C$15*$C$18)/$C$21)*SIN($C$21*F5)),($C$18+($C$16+$C$15*$C$18)*F5)*EXP(-$C$15*F5)))</f>
        <v>5.8521772124951041E-3</v>
      </c>
    </row>
    <row r="6" spans="1:18">
      <c r="A6" s="3" t="s">
        <v>12</v>
      </c>
      <c r="B6" s="35" t="s">
        <v>13</v>
      </c>
      <c r="C6" s="34">
        <f>IF(C25="Ascending",('Shock Setup'!B2+C3)*VLOOKUP(C26,'Weight Bias'!A11:K15,8,FALSE),( 'Shock Setup'!B2+C3)*VLOOKUP(C26,'Weight Bias'!A3:K7,8,FALSE))</f>
        <v>36.442000003990003</v>
      </c>
      <c r="D6" s="36" t="s">
        <v>6</v>
      </c>
      <c r="F6">
        <v>0.03</v>
      </c>
      <c r="G6" s="8">
        <f t="shared" si="0"/>
        <v>8.631167757352818E-3</v>
      </c>
      <c r="H6" s="8">
        <f t="shared" si="1"/>
        <v>7.9425586354187686E-3</v>
      </c>
    </row>
    <row r="7" spans="1:18">
      <c r="A7" s="3" t="s">
        <v>14</v>
      </c>
      <c r="B7" s="35" t="s">
        <v>15</v>
      </c>
      <c r="C7" s="34">
        <f>IF(C25="Ascending",('Shock Setup'!B2+C3)*VLOOKUP(C26,'Weight Bias'!A11:K15,9,FALSE),( 'Shock Setup'!B2+C3)*VLOOKUP(C26,'Weight Bias'!A3:K7,9,FALSE))</f>
        <v>72.617999996009999</v>
      </c>
      <c r="D7" s="36" t="s">
        <v>6</v>
      </c>
      <c r="F7">
        <v>0.04</v>
      </c>
      <c r="G7" s="8">
        <f t="shared" si="0"/>
        <v>1.0728580653809657E-2</v>
      </c>
      <c r="H7" s="8">
        <f t="shared" si="1"/>
        <v>9.5133711635507611E-3</v>
      </c>
    </row>
    <row r="8" spans="1:18">
      <c r="A8" s="3" t="s">
        <v>16</v>
      </c>
      <c r="B8" s="3" t="s">
        <v>17</v>
      </c>
      <c r="C8" s="38">
        <v>4000</v>
      </c>
      <c r="D8" s="3" t="s">
        <v>18</v>
      </c>
      <c r="F8">
        <v>0.05</v>
      </c>
      <c r="G8" s="8">
        <f t="shared" si="0"/>
        <v>1.2471670586881978E-2</v>
      </c>
      <c r="H8" s="8">
        <f t="shared" si="1"/>
        <v>1.0603968405764729E-2</v>
      </c>
    </row>
    <row r="9" spans="1:18">
      <c r="A9" s="3" t="s">
        <v>19</v>
      </c>
      <c r="B9" s="3" t="s">
        <v>20</v>
      </c>
      <c r="C9" s="1">
        <v>20000</v>
      </c>
      <c r="D9" s="3" t="s">
        <v>18</v>
      </c>
      <c r="F9">
        <v>0.06</v>
      </c>
      <c r="G9" s="8">
        <f t="shared" si="0"/>
        <v>1.3883615002359229E-2</v>
      </c>
      <c r="H9" s="8">
        <f t="shared" si="1"/>
        <v>1.1259872623088073E-2</v>
      </c>
    </row>
    <row r="10" spans="1:18">
      <c r="A10" s="3" t="s">
        <v>21</v>
      </c>
      <c r="B10" s="4" t="s">
        <v>22</v>
      </c>
      <c r="C10" s="1">
        <v>450</v>
      </c>
      <c r="D10" s="3" t="s">
        <v>23</v>
      </c>
      <c r="F10">
        <v>7.0000000000000007E-2</v>
      </c>
      <c r="G10" s="8">
        <f t="shared" si="0"/>
        <v>1.4988315141886128E-2</v>
      </c>
      <c r="H10" s="8">
        <f t="shared" si="1"/>
        <v>1.153068215397615E-2</v>
      </c>
    </row>
    <row r="11" spans="1:18">
      <c r="A11" s="3" t="s">
        <v>24</v>
      </c>
      <c r="B11" s="4" t="s">
        <v>25</v>
      </c>
      <c r="C11" s="1">
        <v>1200</v>
      </c>
      <c r="D11" s="3" t="s">
        <v>23</v>
      </c>
      <c r="F11">
        <v>0.08</v>
      </c>
      <c r="G11" s="8">
        <f t="shared" si="0"/>
        <v>1.581006539241181E-2</v>
      </c>
      <c r="H11" s="8">
        <f t="shared" si="1"/>
        <v>1.1468194335175741E-2</v>
      </c>
    </row>
    <row r="12" spans="1:18">
      <c r="A12" s="3" t="s">
        <v>26</v>
      </c>
      <c r="B12" s="4" t="s">
        <v>27</v>
      </c>
      <c r="C12" s="7">
        <f>C10/(2*SQRT(C6*C8))</f>
        <v>0.58932032614616237</v>
      </c>
      <c r="D12" s="3" t="s">
        <v>28</v>
      </c>
      <c r="F12">
        <v>0.09</v>
      </c>
      <c r="G12" s="8">
        <f t="shared" si="0"/>
        <v>1.6373256989580452E-2</v>
      </c>
      <c r="H12" s="8">
        <f t="shared" si="1"/>
        <v>1.1124758637143285E-2</v>
      </c>
    </row>
    <row r="13" spans="1:18">
      <c r="A13" s="3" t="s">
        <v>29</v>
      </c>
      <c r="B13" s="4" t="s">
        <v>30</v>
      </c>
      <c r="C13" s="7">
        <f>C11/(2*SQRT(C7*C9))</f>
        <v>0.49786788241176544</v>
      </c>
      <c r="D13" s="3" t="s">
        <v>28</v>
      </c>
      <c r="F13">
        <v>0.1</v>
      </c>
      <c r="G13" s="8">
        <f t="shared" si="0"/>
        <v>1.6702115141041085E-2</v>
      </c>
      <c r="H13" s="8">
        <f t="shared" si="1"/>
        <v>1.055186666017535E-2</v>
      </c>
    </row>
    <row r="14" spans="1:18">
      <c r="A14" s="3" t="s">
        <v>31</v>
      </c>
      <c r="B14" s="4" t="s">
        <v>32</v>
      </c>
      <c r="C14" s="7">
        <f>SQRT(C8/C6)</f>
        <v>10.476805798153999</v>
      </c>
      <c r="D14" s="3" t="s">
        <v>33</v>
      </c>
      <c r="F14">
        <v>0.11</v>
      </c>
      <c r="G14" s="8">
        <f t="shared" si="0"/>
        <v>1.682046839938545E-2</v>
      </c>
      <c r="H14" s="8">
        <f t="shared" si="1"/>
        <v>9.7989786258921383E-3</v>
      </c>
    </row>
    <row r="15" spans="1:18">
      <c r="A15" s="3" t="s">
        <v>34</v>
      </c>
      <c r="B15" s="4" t="s">
        <v>35</v>
      </c>
      <c r="C15" s="7">
        <f>SQRT(C9/C7)</f>
        <v>16.59559608039218</v>
      </c>
      <c r="D15" s="3" t="s">
        <v>33</v>
      </c>
      <c r="F15">
        <v>0.12</v>
      </c>
      <c r="G15" s="8">
        <f t="shared" si="0"/>
        <v>1.6751548917673095E-2</v>
      </c>
      <c r="H15" s="8">
        <f t="shared" si="1"/>
        <v>8.9125800644229859E-3</v>
      </c>
    </row>
    <row r="16" spans="1:18">
      <c r="A16" s="3" t="s">
        <v>36</v>
      </c>
      <c r="B16" s="3" t="s">
        <v>37</v>
      </c>
      <c r="C16" s="1">
        <v>0.35</v>
      </c>
      <c r="D16" s="3" t="s">
        <v>38</v>
      </c>
      <c r="F16">
        <v>0.13</v>
      </c>
      <c r="G16" s="8">
        <f t="shared" si="0"/>
        <v>1.6517822060711094E-2</v>
      </c>
      <c r="H16" s="8">
        <f t="shared" si="1"/>
        <v>7.9354575268010038E-3</v>
      </c>
    </row>
    <row r="17" spans="1:8">
      <c r="A17" s="3" t="s">
        <v>39</v>
      </c>
      <c r="B17" s="3" t="s">
        <v>40</v>
      </c>
      <c r="C17" s="1">
        <v>0</v>
      </c>
      <c r="D17" s="3" t="s">
        <v>11</v>
      </c>
      <c r="E17" s="44">
        <v>0.03</v>
      </c>
      <c r="F17">
        <v>0.14000000000000001</v>
      </c>
      <c r="G17" s="8">
        <f t="shared" si="0"/>
        <v>1.6140843719777517E-2</v>
      </c>
      <c r="H17" s="8">
        <f t="shared" si="1"/>
        <v>6.9061783060685557E-3</v>
      </c>
    </row>
    <row r="18" spans="1:8">
      <c r="A18" s="3" t="s">
        <v>41</v>
      </c>
      <c r="B18" s="3" t="s">
        <v>42</v>
      </c>
      <c r="C18" s="1">
        <v>0</v>
      </c>
      <c r="D18" s="3" t="s">
        <v>11</v>
      </c>
      <c r="E18" s="44">
        <v>1.4999999999999999E-2</v>
      </c>
      <c r="F18">
        <v>0.15</v>
      </c>
      <c r="G18" s="8">
        <f t="shared" si="0"/>
        <v>1.5641143584620786E-2</v>
      </c>
      <c r="H18" s="8">
        <f t="shared" si="1"/>
        <v>5.8587562707381677E-3</v>
      </c>
    </row>
    <row r="19" spans="1:8">
      <c r="A19" s="9" t="s">
        <v>43</v>
      </c>
      <c r="B19" s="9" t="s">
        <v>44</v>
      </c>
      <c r="C19" s="10">
        <f>C16/C24</f>
        <v>0.13999999999999999</v>
      </c>
      <c r="D19" s="9" t="s">
        <v>38</v>
      </c>
      <c r="F19">
        <v>0.16</v>
      </c>
      <c r="G19" s="8">
        <f t="shared" si="0"/>
        <v>1.5038132561627329E-2</v>
      </c>
      <c r="H19" s="8">
        <f t="shared" si="1"/>
        <v>4.8224839263249168E-3</v>
      </c>
    </row>
    <row r="20" spans="1:8">
      <c r="A20" s="3" t="s">
        <v>45</v>
      </c>
      <c r="B20" s="3" t="s">
        <v>46</v>
      </c>
      <c r="C20" s="7">
        <f>IF(C12&gt;1.0001,C14*SQRT(C12^2-1),IF(C12&lt;0.9999,C14*SQRT(1-C12^2),1))</f>
        <v>8.4642058487990646</v>
      </c>
      <c r="D20" s="3" t="s">
        <v>33</v>
      </c>
      <c r="F20">
        <v>0.17</v>
      </c>
      <c r="G20" s="8">
        <f t="shared" si="0"/>
        <v>1.4350032488337414E-2</v>
      </c>
      <c r="H20" s="8">
        <f t="shared" si="1"/>
        <v>3.821909639160861E-3</v>
      </c>
    </row>
    <row r="21" spans="1:8">
      <c r="A21" s="3" t="s">
        <v>47</v>
      </c>
      <c r="B21" s="3" t="s">
        <v>48</v>
      </c>
      <c r="C21" s="7">
        <f>IF(C13&gt;1.0001,C15*SQRT(C13^2-1),IF(C13&lt;0.9999,C15*SQRT(1-C13^2),1))</f>
        <v>14.39257862802166</v>
      </c>
      <c r="D21" s="3" t="s">
        <v>33</v>
      </c>
      <c r="F21">
        <v>0.18</v>
      </c>
      <c r="G21" s="8">
        <f t="shared" si="0"/>
        <v>1.3593826279356784E-2</v>
      </c>
      <c r="H21" s="8">
        <f t="shared" si="1"/>
        <v>2.8769384887127095E-3</v>
      </c>
    </row>
    <row r="22" spans="1:8">
      <c r="A22" s="3" t="s">
        <v>49</v>
      </c>
      <c r="B22" s="3" t="s">
        <v>50</v>
      </c>
      <c r="C22" s="1">
        <v>0.15</v>
      </c>
      <c r="D22" s="3" t="s">
        <v>11</v>
      </c>
      <c r="F22">
        <v>0.19</v>
      </c>
      <c r="G22" s="8">
        <f t="shared" si="0"/>
        <v>1.2785226644576722E-2</v>
      </c>
      <c r="H22" s="8">
        <f t="shared" si="1"/>
        <v>2.0030353633238404E-3</v>
      </c>
    </row>
    <row r="23" spans="1:8">
      <c r="A23" s="3" t="s">
        <v>51</v>
      </c>
      <c r="B23" s="3" t="s">
        <v>52</v>
      </c>
      <c r="C23" s="1">
        <v>0.05</v>
      </c>
      <c r="D23" s="3" t="s">
        <v>11</v>
      </c>
      <c r="F23">
        <v>0.2</v>
      </c>
      <c r="G23" s="8">
        <f t="shared" si="0"/>
        <v>1.1938661544977669E-2</v>
      </c>
      <c r="H23" s="8">
        <f t="shared" si="1"/>
        <v>1.2115095819922857E-3</v>
      </c>
    </row>
    <row r="24" spans="1:8">
      <c r="A24" s="3" t="s">
        <v>53</v>
      </c>
      <c r="B24" s="3" t="s">
        <v>54</v>
      </c>
      <c r="C24" s="1">
        <v>2.5</v>
      </c>
      <c r="D24" s="3" t="s">
        <v>55</v>
      </c>
      <c r="F24">
        <v>0.21</v>
      </c>
      <c r="G24" s="8">
        <f t="shared" si="0"/>
        <v>1.1067274591751355E-2</v>
      </c>
      <c r="H24" s="8">
        <f t="shared" si="1"/>
        <v>5.0986141551513219E-4</v>
      </c>
    </row>
    <row r="25" spans="1:8">
      <c r="A25" s="3" t="s">
        <v>56</v>
      </c>
      <c r="B25" s="3" t="s">
        <v>57</v>
      </c>
      <c r="C25" s="1" t="s">
        <v>82</v>
      </c>
      <c r="D25" s="3" t="s">
        <v>55</v>
      </c>
      <c r="F25">
        <v>0.22</v>
      </c>
      <c r="G25" s="8">
        <f t="shared" si="0"/>
        <v>1.0182938648746608E-2</v>
      </c>
      <c r="H25" s="8">
        <f t="shared" si="1"/>
        <v>-9.7827697982726491E-5</v>
      </c>
    </row>
    <row r="26" spans="1:8">
      <c r="A26" s="3" t="s">
        <v>59</v>
      </c>
      <c r="B26" s="3" t="s">
        <v>60</v>
      </c>
      <c r="C26" s="16" t="s">
        <v>103</v>
      </c>
      <c r="D26" s="3"/>
      <c r="F26">
        <v>0.23</v>
      </c>
      <c r="G26" s="8">
        <f t="shared" si="0"/>
        <v>9.2962809641598376E-3</v>
      </c>
      <c r="H26" s="8">
        <f t="shared" si="1"/>
        <v>-6.1047778188222271E-4</v>
      </c>
    </row>
    <row r="27" spans="1:8">
      <c r="A27" s="3" t="s">
        <v>62</v>
      </c>
      <c r="B27" s="3" t="s">
        <v>63</v>
      </c>
      <c r="C27" s="15">
        <f>IF(C25="Ascending",VLOOKUP(C26,'Weight Bias'!A11:K15,6,FALSE), VLOOKUP(C26,'Weight Bias'!A3:K7,6,FALSE))</f>
        <v>33.414634149999998</v>
      </c>
      <c r="D27" s="3" t="s">
        <v>64</v>
      </c>
      <c r="F27">
        <v>0.24</v>
      </c>
      <c r="G27" s="8">
        <f t="shared" si="0"/>
        <v>8.4167182329206482E-3</v>
      </c>
      <c r="H27" s="8">
        <f t="shared" si="1"/>
        <v>-1.0295805016806386E-3</v>
      </c>
    </row>
    <row r="28" spans="1:8">
      <c r="A28" s="3" t="s">
        <v>65</v>
      </c>
      <c r="B28" s="3" t="s">
        <v>66</v>
      </c>
      <c r="C28" s="15">
        <f>IF(C25="Ascending",VLOOKUP(C26,'Weight Bias'!A11:K15,7,FALSE), VLOOKUP(C26,'Weight Bias'!A3:K7,7,FALSE))</f>
        <v>66.585365850000002</v>
      </c>
      <c r="D28" s="3" t="s">
        <v>64</v>
      </c>
      <c r="F28">
        <v>0.25</v>
      </c>
      <c r="G28" s="8">
        <f t="shared" si="0"/>
        <v>7.5525000744693137E-3</v>
      </c>
      <c r="H28" s="8">
        <f t="shared" si="1"/>
        <v>-1.3587696798953144E-3</v>
      </c>
    </row>
    <row r="29" spans="1:8">
      <c r="F29">
        <v>0.26</v>
      </c>
      <c r="G29" s="8">
        <f t="shared" si="0"/>
        <v>6.7107594998314594E-3</v>
      </c>
      <c r="H29" s="8">
        <f t="shared" si="1"/>
        <v>-1.6034029723179812E-3</v>
      </c>
    </row>
    <row r="30" spans="1:8">
      <c r="F30">
        <v>0.27</v>
      </c>
      <c r="G30" s="8">
        <f t="shared" si="0"/>
        <v>5.8975690354528361E-3</v>
      </c>
      <c r="H30" s="8">
        <f t="shared" si="1"/>
        <v>-1.7701636008404923E-3</v>
      </c>
    </row>
    <row r="31" spans="1:8">
      <c r="F31">
        <v>0.28000000000000003</v>
      </c>
      <c r="G31" s="8">
        <f t="shared" si="0"/>
        <v>5.1180012676935371E-3</v>
      </c>
      <c r="H31" s="8">
        <f t="shared" si="1"/>
        <v>-1.8666891751894248E-3</v>
      </c>
    </row>
    <row r="32" spans="1:8">
      <c r="F32">
        <v>0.28999999999999998</v>
      </c>
      <c r="G32" s="8">
        <f t="shared" si="0"/>
        <v>4.376192669866834E-3</v>
      </c>
      <c r="H32" s="8">
        <f t="shared" si="1"/>
        <v>-1.9012328786575116E-3</v>
      </c>
    </row>
    <row r="33" spans="6:8">
      <c r="F33">
        <v>0.3</v>
      </c>
      <c r="G33" s="8">
        <f t="shared" si="0"/>
        <v>3.6754096720523167E-3</v>
      </c>
      <c r="H33" s="8">
        <f t="shared" si="1"/>
        <v>-1.8823606697217922E-3</v>
      </c>
    </row>
    <row r="34" spans="6:8">
      <c r="F34">
        <v>0.31</v>
      </c>
      <c r="G34" s="8">
        <f t="shared" si="0"/>
        <v>3.0181160315600813E-3</v>
      </c>
      <c r="H34" s="8">
        <f t="shared" si="1"/>
        <v>-1.8186866829857445E-3</v>
      </c>
    </row>
    <row r="35" spans="6:8">
      <c r="F35">
        <v>0.32</v>
      </c>
      <c r="G35" s="8">
        <f t="shared" si="0"/>
        <v>2.4060406579456024E-3</v>
      </c>
      <c r="H35" s="8">
        <f t="shared" si="1"/>
        <v>-1.718647712798024E-3</v>
      </c>
    </row>
    <row r="36" spans="6:8">
      <c r="F36">
        <v>0.33</v>
      </c>
      <c r="G36" s="8">
        <f t="shared" si="0"/>
        <v>1.8402451400723696E-3</v>
      </c>
      <c r="H36" s="8">
        <f t="shared" si="1"/>
        <v>-1.5903165384670455E-3</v>
      </c>
    </row>
    <row r="37" spans="6:8">
      <c r="F37">
        <v>0.34</v>
      </c>
      <c r="G37" s="8">
        <f t="shared" si="0"/>
        <v>1.3211903132067889E-3</v>
      </c>
      <c r="H37" s="8">
        <f t="shared" si="1"/>
        <v>-1.4412529029333558E-3</v>
      </c>
    </row>
    <row r="38" spans="6:8">
      <c r="F38">
        <v>0.35</v>
      </c>
      <c r="G38" s="8">
        <f t="shared" si="0"/>
        <v>8.4880129093569811E-4</v>
      </c>
      <c r="H38" s="8">
        <f t="shared" si="1"/>
        <v>-1.2783901840503697E-3</v>
      </c>
    </row>
    <row r="39" spans="6:8">
      <c r="F39">
        <v>0.36</v>
      </c>
      <c r="G39" s="8">
        <f t="shared" si="0"/>
        <v>4.2253046935278988E-4</v>
      </c>
      <c r="H39" s="8">
        <f t="shared" si="1"/>
        <v>-1.107955192273768E-3</v>
      </c>
    </row>
    <row r="40" spans="6:8">
      <c r="F40">
        <v>0.37</v>
      </c>
      <c r="G40" s="8">
        <f t="shared" si="0"/>
        <v>4.141808909593762E-5</v>
      </c>
      <c r="H40" s="8">
        <f t="shared" si="1"/>
        <v>-9.3541808041127902E-4</v>
      </c>
    </row>
    <row r="41" spans="6:8">
      <c r="F41">
        <v>0.38</v>
      </c>
      <c r="G41" s="8">
        <f t="shared" si="0"/>
        <v>-2.9584998584824185E-4</v>
      </c>
      <c r="H41" s="8">
        <f t="shared" si="1"/>
        <v>-7.6546904754367176E-4</v>
      </c>
    </row>
    <row r="42" spans="6:8">
      <c r="F42">
        <v>0.39</v>
      </c>
      <c r="G42" s="8">
        <f t="shared" si="0"/>
        <v>-5.9088754532199883E-4</v>
      </c>
      <c r="H42" s="8">
        <f t="shared" si="1"/>
        <v>-6.0201834595671017E-4</v>
      </c>
    </row>
    <row r="43" spans="6:8">
      <c r="F43">
        <v>0.4</v>
      </c>
      <c r="G43" s="8">
        <f t="shared" si="0"/>
        <v>-8.4555657569567746E-4</v>
      </c>
      <c r="H43" s="8">
        <f t="shared" si="1"/>
        <v>-4.4821604146866935E-4</v>
      </c>
    </row>
    <row r="44" spans="6:8">
      <c r="F44">
        <v>0.41</v>
      </c>
      <c r="G44" s="8">
        <f t="shared" si="0"/>
        <v>-1.0619192195990038E-3</v>
      </c>
      <c r="H44" s="8">
        <f t="shared" si="1"/>
        <v>-3.0648801789108921E-4</v>
      </c>
    </row>
    <row r="45" spans="6:8">
      <c r="F45">
        <v>0.42</v>
      </c>
      <c r="G45" s="8">
        <f t="shared" si="0"/>
        <v>-1.2421932513438699E-3</v>
      </c>
      <c r="H45" s="8">
        <f t="shared" si="1"/>
        <v>-1.7858483944944059E-4</v>
      </c>
    </row>
    <row r="46" spans="6:8">
      <c r="F46">
        <v>0.43</v>
      </c>
      <c r="G46" s="8">
        <f t="shared" si="0"/>
        <v>-1.3887111189685331E-3</v>
      </c>
      <c r="H46" s="8">
        <f t="shared" si="1"/>
        <v>-6.5640275095732667E-5</v>
      </c>
    </row>
    <row r="47" spans="6:8">
      <c r="F47">
        <v>0.44</v>
      </c>
      <c r="G47" s="8">
        <f t="shared" si="0"/>
        <v>-1.5038825611227399E-3</v>
      </c>
      <c r="H47" s="8">
        <f t="shared" si="1"/>
        <v>3.1763469256044952E-5</v>
      </c>
    </row>
    <row r="48" spans="6:8">
      <c r="F48">
        <v>0.45</v>
      </c>
      <c r="G48" s="8">
        <f t="shared" si="0"/>
        <v>-1.5901607691794677E-3</v>
      </c>
      <c r="H48" s="8">
        <f t="shared" si="1"/>
        <v>1.1352648449951846E-4</v>
      </c>
    </row>
    <row r="49" spans="6:8">
      <c r="F49">
        <v>0.46</v>
      </c>
      <c r="G49" s="8">
        <f t="shared" si="0"/>
        <v>-1.6500120318256452E-3</v>
      </c>
      <c r="H49" s="8">
        <f t="shared" si="1"/>
        <v>1.7996022692717993E-4</v>
      </c>
    </row>
    <row r="50" spans="6:8">
      <c r="F50">
        <v>0.47</v>
      </c>
      <c r="G50" s="8">
        <f t="shared" si="0"/>
        <v>-1.6858887707470226E-3</v>
      </c>
      <c r="H50" s="8">
        <f t="shared" si="1"/>
        <v>2.317169718249053E-4</v>
      </c>
    </row>
    <row r="51" spans="6:8">
      <c r="F51">
        <v>0.48</v>
      </c>
      <c r="G51" s="8">
        <f t="shared" si="0"/>
        <v>-1.7002058516546602E-3</v>
      </c>
      <c r="H51" s="8">
        <f t="shared" si="1"/>
        <v>2.6972138022291831E-4</v>
      </c>
    </row>
    <row r="52" spans="6:8">
      <c r="F52">
        <v>0.49</v>
      </c>
      <c r="G52" s="8">
        <f t="shared" si="0"/>
        <v>-1.695320034557435E-3</v>
      </c>
      <c r="H52" s="8">
        <f t="shared" si="1"/>
        <v>2.9510559020773646E-4</v>
      </c>
    </row>
    <row r="53" spans="6:8">
      <c r="F53">
        <v>0.5</v>
      </c>
      <c r="G53" s="8">
        <f t="shared" si="0"/>
        <v>-1.6735124106092038E-3</v>
      </c>
      <c r="H53" s="8">
        <f t="shared" si="1"/>
        <v>3.0914893994911884E-4</v>
      </c>
    </row>
    <row r="54" spans="6:8">
      <c r="F54">
        <v>0.51</v>
      </c>
      <c r="G54" s="8">
        <f t="shared" si="0"/>
        <v>-1.6369736597838093E-3</v>
      </c>
      <c r="H54" s="8">
        <f t="shared" si="1"/>
        <v>3.1322314364606635E-4</v>
      </c>
    </row>
    <row r="55" spans="6:8">
      <c r="F55">
        <v>0.52</v>
      </c>
      <c r="G55" s="8">
        <f t="shared" si="0"/>
        <v>-1.5877919537846564E-3</v>
      </c>
      <c r="H55" s="8">
        <f t="shared" si="1"/>
        <v>3.0874347840150227E-4</v>
      </c>
    </row>
    <row r="56" spans="6:8">
      <c r="F56">
        <v>0.53</v>
      </c>
      <c r="G56" s="8">
        <f t="shared" si="0"/>
        <v>-1.527943321704217E-3</v>
      </c>
      <c r="H56" s="8">
        <f t="shared" si="1"/>
        <v>2.9712630279654813E-4</v>
      </c>
    </row>
    <row r="57" spans="6:8">
      <c r="F57">
        <v>0.54</v>
      </c>
      <c r="G57" s="8">
        <f t="shared" si="0"/>
        <v>-1.4592842917406491E-3</v>
      </c>
      <c r="H57" s="8">
        <f t="shared" si="1"/>
        <v>2.7975301870756207E-4</v>
      </c>
    </row>
    <row r="58" spans="6:8">
      <c r="F58">
        <v>0.55000000000000004</v>
      </c>
      <c r="G58" s="8">
        <f t="shared" si="0"/>
        <v>-1.3835466204853387E-3</v>
      </c>
      <c r="H58" s="8">
        <f t="shared" si="1"/>
        <v>2.5794040772508261E-4</v>
      </c>
    </row>
    <row r="59" spans="6:8">
      <c r="F59">
        <v>0.56000000000000005</v>
      </c>
      <c r="G59" s="8">
        <f t="shared" si="0"/>
        <v>-1.3023339216545551E-3</v>
      </c>
      <c r="H59" s="8">
        <f t="shared" si="1"/>
        <v>2.3291712253341006E-4</v>
      </c>
    </row>
    <row r="60" spans="6:8">
      <c r="F60">
        <v>0.56999999999999995</v>
      </c>
      <c r="G60" s="8">
        <f t="shared" si="0"/>
        <v>-1.2171200083968367E-3</v>
      </c>
      <c r="H60" s="8">
        <f t="shared" si="1"/>
        <v>2.058059911720787E-4</v>
      </c>
    </row>
    <row r="61" spans="6:8">
      <c r="F61">
        <v>0.57999999999999996</v>
      </c>
      <c r="G61" s="8">
        <f t="shared" si="0"/>
        <v>-1.1292487672212928E-3</v>
      </c>
      <c r="H61" s="8">
        <f t="shared" si="1"/>
        <v>1.7761169697644966E-4</v>
      </c>
    </row>
    <row r="62" spans="6:8">
      <c r="F62">
        <v>0.59</v>
      </c>
      <c r="G62" s="8">
        <f t="shared" si="0"/>
        <v>-1.0399353869279999E-3</v>
      </c>
      <c r="H62" s="8">
        <f t="shared" si="1"/>
        <v>1.4921332743305635E-4</v>
      </c>
    </row>
    <row r="63" spans="6:8">
      <c r="F63">
        <v>0.6</v>
      </c>
      <c r="G63" s="8">
        <f t="shared" si="0"/>
        <v>-9.5026877245989942E-4</v>
      </c>
      <c r="H63" s="8">
        <f t="shared" si="1"/>
        <v>1.21361239054436E-4</v>
      </c>
    </row>
    <row r="64" spans="6:8">
      <c r="F64">
        <v>0.61</v>
      </c>
      <c r="G64" s="8">
        <f t="shared" si="0"/>
        <v>-8.6121498112890589E-4</v>
      </c>
      <c r="H64" s="8">
        <f t="shared" si="1"/>
        <v>9.467766027750406E-5</v>
      </c>
    </row>
    <row r="65" spans="6:8">
      <c r="F65">
        <v>0.62</v>
      </c>
      <c r="G65" s="8">
        <f t="shared" si="0"/>
        <v>-7.736215270040147E-4</v>
      </c>
      <c r="H65" s="8">
        <f t="shared" si="1"/>
        <v>6.9660447751547462E-5</v>
      </c>
    </row>
    <row r="66" spans="6:8">
      <c r="F66">
        <v>0.63</v>
      </c>
      <c r="G66" s="8">
        <f t="shared" si="0"/>
        <v>-6.8822240820695082E-4</v>
      </c>
      <c r="H66" s="8">
        <f t="shared" si="1"/>
        <v>4.6689420562586885E-5</v>
      </c>
    </row>
    <row r="67" spans="6:8">
      <c r="F67">
        <v>0.64</v>
      </c>
      <c r="G67" s="8">
        <f t="shared" si="0"/>
        <v>-6.0564372127653871E-4</v>
      </c>
      <c r="H67" s="8">
        <f t="shared" si="1"/>
        <v>2.6034719298216843E-5</v>
      </c>
    </row>
    <row r="68" spans="6:8">
      <c r="F68">
        <v>0.65</v>
      </c>
      <c r="G68" s="8">
        <f t="shared" si="0"/>
        <v>-5.2640973648622458E-4</v>
      </c>
      <c r="H68" s="8">
        <f t="shared" si="1"/>
        <v>7.8666698177687693E-6</v>
      </c>
    </row>
    <row r="69" spans="6:8">
      <c r="F69">
        <v>0.66</v>
      </c>
      <c r="G69" s="8">
        <f t="shared" ref="G69:G102" si="2">IF($G$3="Overdamped",EXP(-$C$12*$C$14*F69)*((($C$16+($C$12*$C$14+$C$20)*$C$17)/2*$C$20)*EXP($C$20*F69)-(($C$16+($C$12*$C$14-$C$20)*$C$17)/2*$C$20)*EXP(-$C$20*F69)),IF($G$3="Underdamped",EXP(-$C$12*$C$14*F69)*($C$17*COS($C$20*F69)+(($C$16+$C$12*$C$14*$C$17)/$C$20)*SIN($C$20*F69)),($C$17+($C$16+$C$14*$C$17)*F69)*EXP(-$C$14*F69)))</f>
        <v>-4.5094931789397684E-4</v>
      </c>
      <c r="H69" s="8">
        <f t="shared" ref="H69:H103" si="3">IF($H$3="Overdamped",EXP(-$C$13*$C$15*F69)*((($C$16+($C$13*$C$15+$C$21)*$C$18)/2*$C$21)*EXP($C$21*F69)-(($C$16+($C$13*$C$15-$C$21)*$C$18)/2*$C$21)*EXP(-$C$21*F69)),IF($H$3="Underdamped",EXP(-$C$13*$C$15*F69)*($C$18*COS($C$21*F69)+(($C$16+$C$13*$C$15*$C$18)/$C$21)*SIN($C$21*F69)),($C$18+($C$16+$C$15*$C$18)*F69)*EXP(-$C$15*F69)))</f>
        <v>-7.7333272931417501E-6</v>
      </c>
    </row>
    <row r="70" spans="6:8">
      <c r="F70">
        <v>0.67</v>
      </c>
      <c r="G70" s="8">
        <f t="shared" si="2"/>
        <v>-3.7960258184812148E-4</v>
      </c>
      <c r="H70" s="8">
        <f t="shared" si="3"/>
        <v>-2.0761313620166851E-5</v>
      </c>
    </row>
    <row r="71" spans="6:8">
      <c r="F71">
        <v>0.68</v>
      </c>
      <c r="G71" s="8">
        <f t="shared" si="2"/>
        <v>-3.1262769755819946E-4</v>
      </c>
      <c r="H71" s="8">
        <f t="shared" si="3"/>
        <v>-3.1279077435833201E-5</v>
      </c>
    </row>
    <row r="72" spans="6:8">
      <c r="F72">
        <v>0.69</v>
      </c>
      <c r="G72" s="8">
        <f t="shared" si="2"/>
        <v>-2.5020774307153368E-4</v>
      </c>
      <c r="H72" s="8">
        <f t="shared" si="3"/>
        <v>-3.9402574405156916E-5</v>
      </c>
    </row>
    <row r="73" spans="6:8">
      <c r="F73">
        <v>0.7</v>
      </c>
      <c r="G73" s="8">
        <f t="shared" si="2"/>
        <v>-1.9245753949130256E-4</v>
      </c>
      <c r="H73" s="8">
        <f t="shared" si="3"/>
        <v>-4.5290740063334625E-5</v>
      </c>
    </row>
    <row r="74" spans="6:8">
      <c r="F74">
        <v>0.71</v>
      </c>
      <c r="G74" s="8">
        <f t="shared" si="2"/>
        <v>-1.3943039546010632E-4</v>
      </c>
      <c r="H74" s="8">
        <f t="shared" si="3"/>
        <v>-4.9134917749023269E-5</v>
      </c>
    </row>
    <row r="75" spans="6:8">
      <c r="F75">
        <v>0.72</v>
      </c>
      <c r="G75" s="8">
        <f t="shared" si="2"/>
        <v>-9.1124702755094789E-5</v>
      </c>
      <c r="H75" s="8">
        <f t="shared" si="3"/>
        <v>-5.1149076017739142E-5</v>
      </c>
    </row>
    <row r="76" spans="6:8">
      <c r="F76">
        <v>0.73</v>
      </c>
      <c r="G76" s="8">
        <f t="shared" si="2"/>
        <v>-4.7490332248287599E-5</v>
      </c>
      <c r="H76" s="8">
        <f t="shared" si="3"/>
        <v>-5.1560943057138668E-5</v>
      </c>
    </row>
    <row r="77" spans="6:8">
      <c r="F77">
        <v>0.74</v>
      </c>
      <c r="G77" s="8">
        <f t="shared" si="2"/>
        <v>-8.4347874400806455E-6</v>
      </c>
      <c r="H77" s="8">
        <f t="shared" si="3"/>
        <v>-5.0604142976461608E-5</v>
      </c>
    </row>
    <row r="78" spans="6:8">
      <c r="F78">
        <v>0.75</v>
      </c>
      <c r="G78" s="8">
        <f t="shared" si="2"/>
        <v>2.6170919754212555E-5</v>
      </c>
      <c r="H78" s="8">
        <f t="shared" si="3"/>
        <v>-4.8511380539528115E-5</v>
      </c>
    </row>
    <row r="79" spans="6:8">
      <c r="F79">
        <v>0.76</v>
      </c>
      <c r="G79" s="8">
        <f t="shared" si="2"/>
        <v>5.6486699316695786E-5</v>
      </c>
      <c r="H79" s="8">
        <f t="shared" si="3"/>
        <v>-4.5508687262457893E-5</v>
      </c>
    </row>
    <row r="80" spans="6:8">
      <c r="F80">
        <v>0.77</v>
      </c>
      <c r="G80" s="8">
        <f t="shared" si="2"/>
        <v>8.26981414387512E-5</v>
      </c>
      <c r="H80" s="8">
        <f t="shared" si="3"/>
        <v>-4.1810712946979124E-5</v>
      </c>
    </row>
    <row r="81" spans="6:8">
      <c r="F81">
        <v>0.78</v>
      </c>
      <c r="G81" s="8">
        <f t="shared" si="2"/>
        <v>1.0501161880526651E-4</v>
      </c>
      <c r="H81" s="8">
        <f t="shared" si="3"/>
        <v>-3.7617022667731362E-5</v>
      </c>
    </row>
    <row r="82" spans="6:8">
      <c r="F82">
        <v>0.79</v>
      </c>
      <c r="G82" s="8">
        <f t="shared" si="2"/>
        <v>1.2364974342009226E-4</v>
      </c>
      <c r="H82" s="8">
        <f t="shared" si="3"/>
        <v>-3.3109339855748413E-5</v>
      </c>
    </row>
    <row r="83" spans="6:8">
      <c r="F83">
        <v>0.8</v>
      </c>
      <c r="G83" s="8">
        <f t="shared" si="2"/>
        <v>1.3884718365633536E-4</v>
      </c>
      <c r="H83" s="8">
        <f t="shared" si="3"/>
        <v>-2.8449661198825341E-5</v>
      </c>
    </row>
    <row r="84" spans="6:8">
      <c r="F84">
        <v>0.81</v>
      </c>
      <c r="G84" s="8">
        <f t="shared" si="2"/>
        <v>1.5084684283868448E-4</v>
      </c>
      <c r="H84" s="8">
        <f t="shared" si="3"/>
        <v>-2.3779158312125491E-5</v>
      </c>
    </row>
    <row r="85" spans="6:8">
      <c r="F85">
        <v>0.82</v>
      </c>
      <c r="G85" s="8">
        <f t="shared" si="2"/>
        <v>1.5989639678345627E-4</v>
      </c>
      <c r="H85" s="8">
        <f t="shared" si="3"/>
        <v>-1.9217774159138802E-5</v>
      </c>
    </row>
    <row r="86" spans="6:8">
      <c r="F86">
        <v>0.83</v>
      </c>
      <c r="G86" s="8">
        <f t="shared" si="2"/>
        <v>1.6624518431799658E-4</v>
      </c>
      <c r="H86" s="8">
        <f t="shared" si="3"/>
        <v>-1.4864418622677717E-5</v>
      </c>
    </row>
    <row r="87" spans="6:8">
      <c r="F87">
        <v>0.84</v>
      </c>
      <c r="G87" s="8">
        <f t="shared" si="2"/>
        <v>1.7014144185410982E-4</v>
      </c>
      <c r="H87" s="8">
        <f t="shared" si="3"/>
        <v>-1.0797667011888761E-5</v>
      </c>
    </row>
    <row r="88" spans="6:8">
      <c r="F88">
        <v>0.85</v>
      </c>
      <c r="G88" s="8">
        <f t="shared" si="2"/>
        <v>1.7182987057764347E-4</v>
      </c>
      <c r="H88" s="8">
        <f t="shared" si="3"/>
        <v>-7.0768672079309054E-6</v>
      </c>
    </row>
    <row r="89" spans="6:8">
      <c r="F89">
        <v>0.86</v>
      </c>
      <c r="G89" s="8">
        <f t="shared" si="2"/>
        <v>1.7154952271367433E-4</v>
      </c>
      <c r="H89" s="8">
        <f t="shared" si="3"/>
        <v>-3.7435651640638971E-6</v>
      </c>
    </row>
    <row r="90" spans="6:8">
      <c r="F90">
        <v>0.87</v>
      </c>
      <c r="G90" s="8">
        <f t="shared" si="2"/>
        <v>1.6953199160799437E-4</v>
      </c>
      <c r="H90" s="8">
        <f t="shared" si="3"/>
        <v>-8.231641644338897E-7</v>
      </c>
    </row>
    <row r="91" spans="6:8">
      <c r="F91">
        <v>0.88</v>
      </c>
      <c r="G91" s="8">
        <f t="shared" si="2"/>
        <v>1.6599988900393496E-4</v>
      </c>
      <c r="H91" s="8">
        <f t="shared" si="3"/>
        <v>1.6732597894379422E-6</v>
      </c>
    </row>
    <row r="92" spans="6:8">
      <c r="F92">
        <v>0.89</v>
      </c>
      <c r="G92" s="8">
        <f t="shared" si="2"/>
        <v>1.6116559186154749E-4</v>
      </c>
      <c r="H92" s="8">
        <f t="shared" si="3"/>
        <v>3.7470562253474021E-6</v>
      </c>
    </row>
    <row r="93" spans="6:8">
      <c r="F93">
        <v>0.9</v>
      </c>
      <c r="G93" s="8">
        <f t="shared" si="2"/>
        <v>1.552302403361239E-4</v>
      </c>
      <c r="H93" s="8">
        <f t="shared" si="3"/>
        <v>5.4100734029041161E-6</v>
      </c>
    </row>
    <row r="94" spans="6:8">
      <c r="F94">
        <v>0.91</v>
      </c>
      <c r="G94" s="8">
        <f t="shared" si="2"/>
        <v>1.4838296807747299E-4</v>
      </c>
      <c r="H94" s="8">
        <f t="shared" si="3"/>
        <v>6.6827590883110343E-6</v>
      </c>
    </row>
    <row r="95" spans="6:8">
      <c r="F95">
        <v>0.92</v>
      </c>
      <c r="G95" s="8">
        <f t="shared" si="2"/>
        <v>1.408003458030449E-4</v>
      </c>
      <c r="H95" s="8">
        <f t="shared" si="3"/>
        <v>7.5923328051812045E-6</v>
      </c>
    </row>
    <row r="96" spans="6:8">
      <c r="F96">
        <v>0.93</v>
      </c>
      <c r="G96" s="8">
        <f t="shared" si="2"/>
        <v>1.3264601911038159E-4</v>
      </c>
      <c r="H96" s="8">
        <f t="shared" si="3"/>
        <v>8.1710649675263895E-6</v>
      </c>
    </row>
    <row r="97" spans="6:8">
      <c r="F97">
        <v>0.94</v>
      </c>
      <c r="G97" s="8">
        <f t="shared" si="2"/>
        <v>1.2407052170167396E-4</v>
      </c>
      <c r="H97" s="8">
        <f t="shared" si="3"/>
        <v>8.4546902009978384E-6</v>
      </c>
    </row>
    <row r="98" spans="6:8">
      <c r="F98">
        <v>0.95</v>
      </c>
      <c r="G98" s="8">
        <f t="shared" si="2"/>
        <v>1.1521124557065386E-4</v>
      </c>
      <c r="H98" s="8">
        <f t="shared" si="3"/>
        <v>8.4809746005713228E-6</v>
      </c>
    </row>
    <row r="99" spans="6:8">
      <c r="F99">
        <v>0.96</v>
      </c>
      <c r="G99" s="8">
        <f t="shared" si="2"/>
        <v>1.0619255022599214E-4</v>
      </c>
      <c r="H99" s="8">
        <f t="shared" si="3"/>
        <v>8.2884497659935689E-6</v>
      </c>
    </row>
    <row r="100" spans="6:8">
      <c r="F100">
        <v>0.97</v>
      </c>
      <c r="G100" s="8">
        <f t="shared" si="2"/>
        <v>9.7125993673369325E-5</v>
      </c>
      <c r="H100" s="8">
        <f t="shared" si="3"/>
        <v>7.9153202762206103E-6</v>
      </c>
    </row>
    <row r="101" spans="6:8">
      <c r="F101">
        <v>0.98</v>
      </c>
      <c r="G101" s="8">
        <f t="shared" si="2"/>
        <v>8.8110668629360234E-5</v>
      </c>
      <c r="H101" s="8">
        <f t="shared" si="3"/>
        <v>7.3985458566075419E-6</v>
      </c>
    </row>
    <row r="102" spans="6:8">
      <c r="F102">
        <v>0.99</v>
      </c>
      <c r="G102" s="8">
        <f t="shared" si="2"/>
        <v>7.9233628274499813E-5</v>
      </c>
      <c r="H102" s="8">
        <f t="shared" si="3"/>
        <v>6.7730948770318683E-6</v>
      </c>
    </row>
    <row r="103" spans="6:8">
      <c r="F103">
        <v>1</v>
      </c>
      <c r="G103" s="8">
        <f>IF($G$3="Overdamped",EXP(-$C$12*$C$14*F103)*((($C$16+($C$12*$C$14+$C$20)*$C$17)/2*$C$20)*EXP($C$20*F103)-(($C$16+($C$12*$C$14-$C$20)*$C$17)/2*$C$20)*EXP(-$C$20*F103)),IF($G$3="Underdamped",EXP(-$C$12*$C$14*F103)*($C$17*COS($C$20*F103)+(($C$16+$C$12*$C$14*$C$17)/$C$20)*SIN($C$20*F103)),($C$17+($C$16+$C$14*$C$17)*F103)*EXP(-$C$14*F103)))</f>
        <v>7.0570386752110979E-5</v>
      </c>
      <c r="H103" s="8">
        <f t="shared" si="3"/>
        <v>6.0713619917328833E-6</v>
      </c>
    </row>
  </sheetData>
  <mergeCells count="1">
    <mergeCell ref="F1:H1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8F14A408-0EA1-411E-983B-4C0058E70325}">
          <x14:formula1>
            <xm:f>'Weight Bias'!$A$3:$A$7</xm:f>
          </x14:formula1>
          <xm:sqref>C26</xm:sqref>
        </x14:dataValidation>
        <x14:dataValidation type="list" errorStyle="warning" allowBlank="1" showInputMessage="1" showErrorMessage="1" xr:uid="{D3C551FA-A31A-4B67-A3F6-E3CEEB3428E4}">
          <x14:formula1>
            <xm:f>'Weight Bias'!$N$3:$N$4</xm:f>
          </x14:formula1>
          <xm:sqref>C25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5B511-9F69-4203-8C9F-6E210DAEFA45}">
  <sheetPr codeName="Sheet4"/>
  <dimension ref="A1:R103"/>
  <sheetViews>
    <sheetView workbookViewId="0">
      <selection activeCell="V15" sqref="V15"/>
    </sheetView>
  </sheetViews>
  <sheetFormatPr defaultColWidth="8.85546875" defaultRowHeight="15"/>
  <cols>
    <col min="1" max="1" width="22.42578125" customWidth="1"/>
    <col min="2" max="2" width="5.42578125" customWidth="1"/>
    <col min="3" max="3" width="11.42578125" customWidth="1"/>
    <col min="4" max="4" width="6.140625" customWidth="1"/>
    <col min="7" max="7" width="13.42578125" customWidth="1"/>
    <col min="8" max="8" width="13.85546875" bestFit="1" customWidth="1"/>
    <col min="15" max="15" width="24" bestFit="1" customWidth="1"/>
  </cols>
  <sheetData>
    <row r="1" spans="1:18">
      <c r="F1" s="51" t="s">
        <v>0</v>
      </c>
      <c r="G1" s="52"/>
      <c r="H1" s="52"/>
      <c r="O1" s="45" t="s">
        <v>153</v>
      </c>
      <c r="P1" s="45" t="s">
        <v>154</v>
      </c>
      <c r="Q1" s="45">
        <v>3.58</v>
      </c>
      <c r="R1" s="45" t="s">
        <v>38</v>
      </c>
    </row>
    <row r="2" spans="1:18">
      <c r="A2" s="2" t="s">
        <v>1</v>
      </c>
      <c r="B2" s="3"/>
      <c r="C2" s="3"/>
      <c r="D2" s="3"/>
      <c r="G2" t="s">
        <v>2</v>
      </c>
      <c r="H2" t="s">
        <v>3</v>
      </c>
      <c r="O2" s="45" t="s">
        <v>155</v>
      </c>
      <c r="P2" s="45" t="s">
        <v>156</v>
      </c>
      <c r="Q2" s="45">
        <v>0.127</v>
      </c>
      <c r="R2" s="45" t="s">
        <v>11</v>
      </c>
    </row>
    <row r="3" spans="1:18">
      <c r="A3" s="3" t="s">
        <v>4</v>
      </c>
      <c r="B3" s="3" t="s">
        <v>5</v>
      </c>
      <c r="C3" s="1">
        <v>14.06</v>
      </c>
      <c r="D3" s="3" t="s">
        <v>6</v>
      </c>
      <c r="F3" s="5" t="s">
        <v>7</v>
      </c>
      <c r="G3" s="6" t="str">
        <f>IF(C12&gt;1, "Overdamped",IF(C12&lt;1,"Underdamped","Critically Damped"))</f>
        <v>Underdamped</v>
      </c>
      <c r="H3" s="6" t="str">
        <f>IF(C13&gt;1, "Overdamped",IF(C13&lt;1,"Underdamped","Critically Damped"))</f>
        <v>Underdamped</v>
      </c>
      <c r="O3" s="45" t="s">
        <v>157</v>
      </c>
      <c r="P3" s="45" t="s">
        <v>158</v>
      </c>
      <c r="Q3" s="45">
        <v>1.47</v>
      </c>
      <c r="R3" s="45" t="s">
        <v>33</v>
      </c>
    </row>
    <row r="4" spans="1:18">
      <c r="A4" s="3" t="s">
        <v>8</v>
      </c>
      <c r="B4" s="3" t="s">
        <v>9</v>
      </c>
      <c r="C4" s="3">
        <f>'Shock Setup'!B2</f>
        <v>95</v>
      </c>
      <c r="D4" s="3" t="s">
        <v>6</v>
      </c>
      <c r="F4">
        <v>0.01</v>
      </c>
      <c r="G4" s="8">
        <f>IF($G$3="Overdamped",EXP(-$C$12*$C$14*F4)*((($C$16+($C$12*$C$14+$C$20)*$C$17)/2*$C$20)*EXP($C$20*F4)-(($C$16+($C$12*$C$14-$C$20)*$C$17)/2*$C$20)*EXP(-$C$20*F4)),IF($G$3="Underdamped",EXP(-$C$12*$C$14*F4)*($C$17*COS($C$20*F4)+(($C$16+$C$12*$C$14*$C$17)/$C$20)*SIN($C$20*F4)),($C$17+($C$16+$C$14*$C$17)*F4)*EXP(-$C$14*F4)))</f>
        <v>5.5347385114184926E-3</v>
      </c>
      <c r="H4" s="8">
        <f>IF($H$3="Overdamped",EXP(-$C$13*$C$15*F4)*((($C$16+($C$13*$C$15+$C$21)*$C$18)/2*$C$21)*EXP($C$21*F4)-(($C$16+($C$13*$C$15-$C$21)*$C$18)/2*$C$21)*EXP(-$C$21*F4)),IF($H$3="Underdamped",EXP(-$C$13*$C$15*F4)*($C$18*COS($C$21*F4)+(($C$16+$C$13*$C$15*$C$18)/$C$21)*SIN($C$21*F4)),($C$18+($C$16+$C$15*$C$18)*F4)*EXP(-$C$15*F4)))</f>
        <v>5.4668211401168671E-3</v>
      </c>
    </row>
    <row r="5" spans="1:18">
      <c r="A5" s="3" t="s">
        <v>10</v>
      </c>
      <c r="B5" s="3" t="s">
        <v>11</v>
      </c>
      <c r="C5" s="37">
        <f>C3+C4</f>
        <v>109.06</v>
      </c>
      <c r="D5" s="3" t="s">
        <v>6</v>
      </c>
      <c r="F5">
        <v>0.02</v>
      </c>
      <c r="G5" s="8">
        <f t="shared" ref="G5:G68" si="0">IF($G$3="Overdamped",EXP(-$C$12*$C$14*F5)*((($C$16+($C$12*$C$14+$C$20)*$C$17)/2*$C$20)*EXP($C$20*F5)-(($C$16+($C$12*$C$14-$C$20)*$C$17)/2*$C$20)*EXP(-$C$20*F5)),IF($G$3="Underdamped",EXP(-$C$12*$C$14*F5)*($C$17*COS($C$20*F5)+(($C$16+$C$12*$C$14*$C$17)/$C$20)*SIN($C$20*F5)),($C$17+($C$16+$C$14*$C$17)*F5)*EXP(-$C$14*F5)))</f>
        <v>1.0189317549705316E-2</v>
      </c>
      <c r="H5" s="8">
        <f t="shared" ref="H5:H68" si="1">IF($H$3="Overdamped",EXP(-$C$13*$C$15*F5)*((($C$16+($C$13*$C$15+$C$21)*$C$18)/2*$C$21)*EXP($C$21*F5)-(($C$16+($C$13*$C$15-$C$21)*$C$18)/2*$C$21)*EXP(-$C$21*F5)),IF($H$3="Underdamped",EXP(-$C$13*$C$15*F5)*($C$18*COS($C$21*F5)+(($C$16+$C$13*$C$15*$C$18)/$C$21)*SIN($C$21*F5)),($C$18+($C$16+$C$15*$C$18)*F5)*EXP(-$C$15*F5)))</f>
        <v>9.9034411482198572E-3</v>
      </c>
    </row>
    <row r="6" spans="1:18">
      <c r="A6" s="3" t="s">
        <v>12</v>
      </c>
      <c r="B6" s="35" t="s">
        <v>13</v>
      </c>
      <c r="C6" s="34">
        <f>IF(C25="Ascending",('Shock Setup'!B2+C3)*VLOOKUP(C26,'Weight Bias'!A11:K15,8,FALSE),( 'Shock Setup'!B2+C3)*VLOOKUP(C26,'Weight Bias'!A3:K7,8,FALSE))</f>
        <v>31.387999994679998</v>
      </c>
      <c r="D6" s="36" t="s">
        <v>6</v>
      </c>
      <c r="F6">
        <v>0.03</v>
      </c>
      <c r="G6" s="8">
        <f t="shared" si="0"/>
        <v>1.4038571168063081E-2</v>
      </c>
      <c r="H6" s="8">
        <f t="shared" si="1"/>
        <v>1.3375463778817867E-2</v>
      </c>
    </row>
    <row r="7" spans="1:18">
      <c r="A7" s="3" t="s">
        <v>14</v>
      </c>
      <c r="B7" s="35" t="s">
        <v>15</v>
      </c>
      <c r="C7" s="34">
        <f>IF(C25="Ascending",('Shock Setup'!B2+C3)*VLOOKUP(C26,'Weight Bias'!A11:K15,9,FALSE),( 'Shock Setup'!B2+C3)*VLOOKUP(C26,'Weight Bias'!A3:K7,9,FALSE))</f>
        <v>77.672000005320001</v>
      </c>
      <c r="D7" s="36" t="s">
        <v>6</v>
      </c>
      <c r="F7">
        <v>0.04</v>
      </c>
      <c r="G7" s="8">
        <f t="shared" si="0"/>
        <v>1.7155790703959516E-2</v>
      </c>
      <c r="H7" s="8">
        <f t="shared" si="1"/>
        <v>1.596035167663655E-2</v>
      </c>
    </row>
    <row r="8" spans="1:18">
      <c r="A8" s="3" t="s">
        <v>16</v>
      </c>
      <c r="B8" s="3" t="s">
        <v>17</v>
      </c>
      <c r="C8" s="38">
        <v>4000</v>
      </c>
      <c r="D8" s="3" t="s">
        <v>18</v>
      </c>
      <c r="F8">
        <v>0.05</v>
      </c>
      <c r="G8" s="8">
        <f t="shared" si="0"/>
        <v>1.9612089459880952E-2</v>
      </c>
      <c r="H8" s="8">
        <f t="shared" si="1"/>
        <v>1.7743649166703943E-2</v>
      </c>
    </row>
    <row r="9" spans="1:18">
      <c r="A9" s="3" t="s">
        <v>19</v>
      </c>
      <c r="B9" s="3" t="s">
        <v>20</v>
      </c>
      <c r="C9" s="1">
        <v>20000</v>
      </c>
      <c r="D9" s="3" t="s">
        <v>18</v>
      </c>
      <c r="F9">
        <v>0.06</v>
      </c>
      <c r="G9" s="8">
        <f t="shared" si="0"/>
        <v>2.1475886570179323E-2</v>
      </c>
      <c r="H9" s="8">
        <f t="shared" si="1"/>
        <v>1.8815638023608004E-2</v>
      </c>
    </row>
    <row r="10" spans="1:18">
      <c r="A10" s="3" t="s">
        <v>21</v>
      </c>
      <c r="B10" s="4" t="s">
        <v>22</v>
      </c>
      <c r="C10" s="1">
        <v>500</v>
      </c>
      <c r="D10" s="3" t="s">
        <v>23</v>
      </c>
      <c r="F10">
        <v>7.0000000000000007E-2</v>
      </c>
      <c r="G10" s="8">
        <f t="shared" si="0"/>
        <v>2.2812498576946606E-2</v>
      </c>
      <c r="H10" s="8">
        <f t="shared" si="1"/>
        <v>1.9268433434883055E-2</v>
      </c>
    </row>
    <row r="11" spans="1:18">
      <c r="A11" s="3" t="s">
        <v>24</v>
      </c>
      <c r="B11" s="4" t="s">
        <v>25</v>
      </c>
      <c r="C11" s="1">
        <v>1400</v>
      </c>
      <c r="D11" s="3" t="s">
        <v>23</v>
      </c>
      <c r="F11">
        <v>0.08</v>
      </c>
      <c r="G11" s="8">
        <f t="shared" si="0"/>
        <v>2.3683827660401283E-2</v>
      </c>
      <c r="H11" s="8">
        <f t="shared" si="1"/>
        <v>1.9193515833824441E-2</v>
      </c>
    </row>
    <row r="12" spans="1:18">
      <c r="A12" s="3" t="s">
        <v>26</v>
      </c>
      <c r="B12" s="4" t="s">
        <v>27</v>
      </c>
      <c r="C12" s="7">
        <f>C10/(2*SQRT(C6*C8))</f>
        <v>0.70555064151579594</v>
      </c>
      <c r="D12" s="3" t="s">
        <v>28</v>
      </c>
      <c r="F12">
        <v>0.09</v>
      </c>
      <c r="G12" s="8">
        <f t="shared" si="0"/>
        <v>2.4148135959688649E-2</v>
      </c>
      <c r="H12" s="8">
        <f t="shared" si="1"/>
        <v>1.8679684742342193E-2</v>
      </c>
    </row>
    <row r="13" spans="1:18">
      <c r="A13" s="3" t="s">
        <v>29</v>
      </c>
      <c r="B13" s="4" t="s">
        <v>30</v>
      </c>
      <c r="C13" s="7">
        <f>C11/(2*SQRT(C7*C9))</f>
        <v>0.56163064677405461</v>
      </c>
      <c r="D13" s="3" t="s">
        <v>28</v>
      </c>
      <c r="F13">
        <v>0.1</v>
      </c>
      <c r="G13" s="8">
        <f t="shared" si="0"/>
        <v>2.4259895962515411E-2</v>
      </c>
      <c r="H13" s="8">
        <f t="shared" si="1"/>
        <v>1.7811413128230688E-2</v>
      </c>
    </row>
    <row r="14" spans="1:18">
      <c r="A14" s="3" t="s">
        <v>31</v>
      </c>
      <c r="B14" s="4" t="s">
        <v>32</v>
      </c>
      <c r="C14" s="7">
        <f>SQRT(C8/C6)</f>
        <v>11.288810264252735</v>
      </c>
      <c r="D14" s="3" t="s">
        <v>33</v>
      </c>
      <c r="F14">
        <v>0.11</v>
      </c>
      <c r="G14" s="8">
        <f t="shared" si="0"/>
        <v>2.4069707522602447E-2</v>
      </c>
      <c r="H14" s="8">
        <f t="shared" si="1"/>
        <v>1.66675749098728E-2</v>
      </c>
    </row>
    <row r="15" spans="1:18">
      <c r="A15" s="3" t="s">
        <v>34</v>
      </c>
      <c r="B15" s="4" t="s">
        <v>35</v>
      </c>
      <c r="C15" s="7">
        <f>SQRT(C9/C7)</f>
        <v>16.046589907830132</v>
      </c>
      <c r="D15" s="3" t="s">
        <v>33</v>
      </c>
      <c r="F15">
        <v>0.12</v>
      </c>
      <c r="G15" s="8">
        <f t="shared" si="0"/>
        <v>2.3624272670113251E-2</v>
      </c>
      <c r="H15" s="8">
        <f t="shared" si="1"/>
        <v>1.5320513981868865E-2</v>
      </c>
    </row>
    <row r="16" spans="1:18">
      <c r="A16" s="3" t="s">
        <v>36</v>
      </c>
      <c r="B16" s="3" t="s">
        <v>37</v>
      </c>
      <c r="C16" s="1">
        <v>0.6</v>
      </c>
      <c r="D16" s="3" t="s">
        <v>38</v>
      </c>
      <c r="F16">
        <v>0.13</v>
      </c>
      <c r="G16" s="8">
        <f t="shared" si="0"/>
        <v>2.2966420001094973E-2</v>
      </c>
      <c r="H16" s="8">
        <f t="shared" si="1"/>
        <v>1.383542032168557E-2</v>
      </c>
    </row>
    <row r="17" spans="1:8">
      <c r="A17" s="3" t="s">
        <v>39</v>
      </c>
      <c r="B17" s="3" t="s">
        <v>40</v>
      </c>
      <c r="C17" s="1">
        <v>0</v>
      </c>
      <c r="D17" s="3" t="s">
        <v>11</v>
      </c>
      <c r="E17" s="44">
        <v>0.03</v>
      </c>
      <c r="F17">
        <v>0.14000000000000001</v>
      </c>
      <c r="G17" s="8">
        <f t="shared" si="0"/>
        <v>2.2135171058081923E-2</v>
      </c>
      <c r="H17" s="8">
        <f t="shared" si="1"/>
        <v>1.2269977197787175E-2</v>
      </c>
    </row>
    <row r="18" spans="1:8">
      <c r="A18" s="3" t="s">
        <v>41</v>
      </c>
      <c r="B18" s="3" t="s">
        <v>42</v>
      </c>
      <c r="C18" s="1">
        <v>0</v>
      </c>
      <c r="D18" s="3" t="s">
        <v>11</v>
      </c>
      <c r="E18" s="44">
        <v>1.4999999999999999E-2</v>
      </c>
      <c r="F18">
        <v>0.15</v>
      </c>
      <c r="G18" s="8">
        <f t="shared" si="0"/>
        <v>2.1165841737218836E-2</v>
      </c>
      <c r="H18" s="8">
        <f t="shared" si="1"/>
        <v>1.0674243059953533E-2</v>
      </c>
    </row>
    <row r="19" spans="1:8">
      <c r="A19" s="9" t="s">
        <v>43</v>
      </c>
      <c r="B19" s="9" t="s">
        <v>44</v>
      </c>
      <c r="C19" s="10">
        <f>C16/C24</f>
        <v>0.24</v>
      </c>
      <c r="D19" s="9" t="s">
        <v>38</v>
      </c>
      <c r="F19">
        <v>0.16</v>
      </c>
      <c r="G19" s="8">
        <f t="shared" si="0"/>
        <v>2.0090172370657831E-2</v>
      </c>
      <c r="H19" s="8">
        <f t="shared" si="1"/>
        <v>9.090732181537749E-3</v>
      </c>
    </row>
    <row r="20" spans="1:8">
      <c r="A20" s="3" t="s">
        <v>45</v>
      </c>
      <c r="B20" s="3" t="s">
        <v>46</v>
      </c>
      <c r="C20" s="7">
        <f>IF(C12&gt;1.0001,C14*SQRT(C12^2-1),IF(C12&lt;0.9999,C14*SQRT(1-C12^2),1))</f>
        <v>7.9999226798048184</v>
      </c>
      <c r="D20" s="3" t="s">
        <v>33</v>
      </c>
      <c r="F20">
        <v>0.17</v>
      </c>
      <c r="G20" s="8">
        <f t="shared" si="0"/>
        <v>1.8936480730794052E-2</v>
      </c>
      <c r="H20" s="8">
        <f t="shared" si="1"/>
        <v>7.5546593765812992E-3</v>
      </c>
    </row>
    <row r="21" spans="1:8">
      <c r="A21" s="3" t="s">
        <v>47</v>
      </c>
      <c r="B21" s="3" t="s">
        <v>48</v>
      </c>
      <c r="C21" s="7">
        <f>IF(C13&gt;1.0001,C15*SQRT(C13^2-1),IF(C13&lt;0.9999,C15*SQRT(1-C13^2),1))</f>
        <v>13.276757036716702</v>
      </c>
      <c r="D21" s="3" t="s">
        <v>33</v>
      </c>
      <c r="F21">
        <v>0.18</v>
      </c>
      <c r="G21" s="8">
        <f t="shared" si="0"/>
        <v>1.7729832780391523E-2</v>
      </c>
      <c r="H21" s="8">
        <f t="shared" si="1"/>
        <v>6.0943159764919128E-3</v>
      </c>
    </row>
    <row r="22" spans="1:8">
      <c r="A22" s="3" t="s">
        <v>49</v>
      </c>
      <c r="B22" s="3" t="s">
        <v>50</v>
      </c>
      <c r="C22" s="1">
        <v>0.15</v>
      </c>
      <c r="D22" s="3" t="s">
        <v>11</v>
      </c>
      <c r="F22">
        <v>0.19</v>
      </c>
      <c r="G22" s="8">
        <f t="shared" si="0"/>
        <v>1.6492226546008657E-2</v>
      </c>
      <c r="H22" s="8">
        <f t="shared" si="1"/>
        <v>4.7315465772439546E-3</v>
      </c>
    </row>
    <row r="23" spans="1:8">
      <c r="A23" s="3" t="s">
        <v>51</v>
      </c>
      <c r="B23" s="3" t="s">
        <v>52</v>
      </c>
      <c r="C23" s="1">
        <v>0.05</v>
      </c>
      <c r="D23" s="3" t="s">
        <v>11</v>
      </c>
      <c r="F23">
        <v>0.2</v>
      </c>
      <c r="G23" s="8">
        <f t="shared" si="0"/>
        <v>1.5242785018404745E-2</v>
      </c>
      <c r="H23" s="8">
        <f t="shared" si="1"/>
        <v>3.4822987274814535E-3</v>
      </c>
    </row>
    <row r="24" spans="1:8">
      <c r="A24" s="3" t="s">
        <v>53</v>
      </c>
      <c r="B24" s="3" t="s">
        <v>54</v>
      </c>
      <c r="C24" s="1">
        <v>2.5</v>
      </c>
      <c r="D24" s="3" t="s">
        <v>55</v>
      </c>
      <c r="F24">
        <v>0.21</v>
      </c>
      <c r="G24" s="8">
        <f t="shared" si="0"/>
        <v>1.3997954480588425E-2</v>
      </c>
      <c r="H24" s="8">
        <f t="shared" si="1"/>
        <v>2.3572206030123282E-3</v>
      </c>
    </row>
    <row r="25" spans="1:8">
      <c r="A25" s="3" t="s">
        <v>56</v>
      </c>
      <c r="B25" s="3" t="s">
        <v>57</v>
      </c>
      <c r="C25" s="1" t="s">
        <v>82</v>
      </c>
      <c r="D25" s="3" t="s">
        <v>55</v>
      </c>
      <c r="F25">
        <v>0.22</v>
      </c>
      <c r="G25" s="8">
        <f t="shared" si="0"/>
        <v>1.2771705130323011E-2</v>
      </c>
      <c r="H25" s="8">
        <f t="shared" si="1"/>
        <v>1.3622847008067272E-3</v>
      </c>
    </row>
    <row r="26" spans="1:8">
      <c r="A26" s="3" t="s">
        <v>59</v>
      </c>
      <c r="B26" s="3" t="s">
        <v>60</v>
      </c>
      <c r="C26" s="16" t="s">
        <v>61</v>
      </c>
      <c r="D26" s="3"/>
      <c r="F26">
        <v>0.23</v>
      </c>
      <c r="G26" s="8">
        <f t="shared" si="0"/>
        <v>1.1575731298284301E-2</v>
      </c>
      <c r="H26" s="8">
        <f t="shared" si="1"/>
        <v>4.9941859695037147E-4</v>
      </c>
    </row>
    <row r="27" spans="1:8">
      <c r="A27" s="3" t="s">
        <v>62</v>
      </c>
      <c r="B27" s="3" t="s">
        <v>63</v>
      </c>
      <c r="C27" s="15">
        <f>IF(C25="Ascending",VLOOKUP(C26,'Weight Bias'!A11:K15,6,FALSE), VLOOKUP(C26,'Weight Bias'!A3:K7,6,FALSE))</f>
        <v>28.7804878</v>
      </c>
      <c r="D27" s="3" t="s">
        <v>64</v>
      </c>
      <c r="F27">
        <v>0.24</v>
      </c>
      <c r="G27" s="8">
        <f t="shared" si="0"/>
        <v>1.0419648965241458E-2</v>
      </c>
      <c r="H27" s="8">
        <f t="shared" si="1"/>
        <v>-2.3287322665669697E-4</v>
      </c>
    </row>
    <row r="28" spans="1:8">
      <c r="A28" s="3" t="s">
        <v>65</v>
      </c>
      <c r="B28" s="3" t="s">
        <v>66</v>
      </c>
      <c r="C28" s="15">
        <f>IF(C25="Ascending",VLOOKUP(C26,'Weight Bias'!A11:K15,7,FALSE), VLOOKUP(C26,'Weight Bias'!A3:K7,7,FALSE))</f>
        <v>71.219512199999997</v>
      </c>
      <c r="D28" s="3" t="s">
        <v>64</v>
      </c>
      <c r="F28">
        <v>0.25</v>
      </c>
      <c r="G28" s="8">
        <f t="shared" si="0"/>
        <v>9.3111886516106072E-3</v>
      </c>
      <c r="H28" s="8">
        <f t="shared" si="1"/>
        <v>-8.3890963391537233E-4</v>
      </c>
    </row>
    <row r="29" spans="1:8">
      <c r="F29">
        <v>0.26</v>
      </c>
      <c r="G29" s="8">
        <f t="shared" si="0"/>
        <v>8.2563820909005037E-3</v>
      </c>
      <c r="H29" s="8">
        <f t="shared" si="1"/>
        <v>-1.3252656240161239E-3</v>
      </c>
    </row>
    <row r="30" spans="1:8">
      <c r="F30">
        <v>0.27</v>
      </c>
      <c r="G30" s="8">
        <f t="shared" si="0"/>
        <v>7.2597414056353093E-3</v>
      </c>
      <c r="H30" s="8">
        <f t="shared" si="1"/>
        <v>-1.7002456282010979E-3</v>
      </c>
    </row>
    <row r="31" spans="1:8">
      <c r="F31">
        <v>0.28000000000000003</v>
      </c>
      <c r="G31" s="8">
        <f t="shared" si="0"/>
        <v>6.3244297812672509E-3</v>
      </c>
      <c r="H31" s="8">
        <f t="shared" si="1"/>
        <v>-1.9734030163803202E-3</v>
      </c>
    </row>
    <row r="32" spans="1:8">
      <c r="F32">
        <v>0.28999999999999998</v>
      </c>
      <c r="G32" s="8">
        <f t="shared" si="0"/>
        <v>5.4524228815610309E-3</v>
      </c>
      <c r="H32" s="8">
        <f t="shared" si="1"/>
        <v>-2.1551094891633545E-3</v>
      </c>
    </row>
    <row r="33" spans="6:8">
      <c r="F33">
        <v>0.3</v>
      </c>
      <c r="G33" s="8">
        <f t="shared" si="0"/>
        <v>4.6446604692888848E-3</v>
      </c>
      <c r="H33" s="8">
        <f t="shared" si="1"/>
        <v>-2.256176251755641E-3</v>
      </c>
    </row>
    <row r="34" spans="6:8">
      <c r="F34">
        <v>0.31</v>
      </c>
      <c r="G34" s="8">
        <f t="shared" si="0"/>
        <v>3.9011878902923945E-3</v>
      </c>
      <c r="H34" s="8">
        <f t="shared" si="1"/>
        <v>-2.2875273359050322E-3</v>
      </c>
    </row>
    <row r="35" spans="6:8">
      <c r="F35">
        <v>0.32</v>
      </c>
      <c r="G35" s="8">
        <f t="shared" si="0"/>
        <v>3.221287248608878E-3</v>
      </c>
      <c r="H35" s="8">
        <f t="shared" si="1"/>
        <v>-2.2599241496040973E-3</v>
      </c>
    </row>
    <row r="36" spans="6:8">
      <c r="F36">
        <v>0.33</v>
      </c>
      <c r="G36" s="8">
        <f t="shared" si="0"/>
        <v>2.6035982470486007E-3</v>
      </c>
      <c r="H36" s="8">
        <f t="shared" si="1"/>
        <v>-2.1837392815963236E-3</v>
      </c>
    </row>
    <row r="37" spans="6:8">
      <c r="F37">
        <v>0.34</v>
      </c>
      <c r="G37" s="8">
        <f t="shared" si="0"/>
        <v>2.0462287929980472E-3</v>
      </c>
      <c r="H37" s="8">
        <f t="shared" si="1"/>
        <v>-2.0687767550836358E-3</v>
      </c>
    </row>
    <row r="38" spans="6:8">
      <c r="F38">
        <v>0.35</v>
      </c>
      <c r="G38" s="8">
        <f t="shared" si="0"/>
        <v>1.54685557497504E-3</v>
      </c>
      <c r="H38" s="8">
        <f t="shared" si="1"/>
        <v>-1.924135295679045E-3</v>
      </c>
    </row>
    <row r="39" spans="6:8">
      <c r="F39">
        <v>0.36</v>
      </c>
      <c r="G39" s="8">
        <f t="shared" si="0"/>
        <v>1.1028149032208587E-3</v>
      </c>
      <c r="H39" s="8">
        <f t="shared" si="1"/>
        <v>-1.7581107338579265E-3</v>
      </c>
    </row>
    <row r="40" spans="6:8">
      <c r="F40">
        <v>0.37</v>
      </c>
      <c r="G40" s="8">
        <f t="shared" si="0"/>
        <v>7.1118417899948712E-4</v>
      </c>
      <c r="H40" s="8">
        <f t="shared" si="1"/>
        <v>-1.5781333819514512E-3</v>
      </c>
    </row>
    <row r="41" spans="6:8">
      <c r="F41">
        <v>0.38</v>
      </c>
      <c r="G41" s="8">
        <f t="shared" si="0"/>
        <v>3.6885441385554467E-4</v>
      </c>
      <c r="H41" s="8">
        <f t="shared" si="1"/>
        <v>-1.3907360895391535E-3</v>
      </c>
    </row>
    <row r="42" spans="6:8">
      <c r="F42">
        <v>0.39</v>
      </c>
      <c r="G42" s="8">
        <f t="shared" si="0"/>
        <v>7.2594263374785133E-5</v>
      </c>
      <c r="H42" s="8">
        <f t="shared" si="1"/>
        <v>-1.2015486683821016E-3</v>
      </c>
    </row>
    <row r="43" spans="6:8">
      <c r="F43">
        <v>0.4</v>
      </c>
      <c r="G43" s="8">
        <f t="shared" si="0"/>
        <v>-1.8089392855854001E-4</v>
      </c>
      <c r="H43" s="8">
        <f t="shared" si="1"/>
        <v>-1.0153144687278872E-3</v>
      </c>
    </row>
    <row r="44" spans="6:8">
      <c r="F44">
        <v>0.41</v>
      </c>
      <c r="G44" s="8">
        <f t="shared" si="0"/>
        <v>-3.9492555803096797E-4</v>
      </c>
      <c r="H44" s="8">
        <f t="shared" si="1"/>
        <v>-8.3592506372645993E-4</v>
      </c>
    </row>
    <row r="45" spans="6:8">
      <c r="F45">
        <v>0.42</v>
      </c>
      <c r="G45" s="8">
        <f t="shared" si="0"/>
        <v>-5.72792133110508E-4</v>
      </c>
      <c r="H45" s="8">
        <f t="shared" si="1"/>
        <v>-6.6646923981867354E-4</v>
      </c>
    </row>
    <row r="46" spans="6:8">
      <c r="F46">
        <v>0.43</v>
      </c>
      <c r="G46" s="8">
        <f t="shared" si="0"/>
        <v>-7.1772605696646986E-4</v>
      </c>
      <c r="H46" s="8">
        <f t="shared" si="1"/>
        <v>-5.0929278170716683E-4</v>
      </c>
    </row>
    <row r="47" spans="6:8">
      <c r="F47">
        <v>0.44</v>
      </c>
      <c r="G47" s="8">
        <f t="shared" si="0"/>
        <v>-8.3287129245370232E-4</v>
      </c>
      <c r="H47" s="8">
        <f t="shared" si="1"/>
        <v>-3.6606586587089538E-4</v>
      </c>
    </row>
    <row r="48" spans="6:8">
      <c r="F48">
        <v>0.45</v>
      </c>
      <c r="G48" s="8">
        <f t="shared" si="0"/>
        <v>-9.2125938729692696E-4</v>
      </c>
      <c r="H48" s="8">
        <f t="shared" si="1"/>
        <v>-2.3785522318348076E-4</v>
      </c>
    </row>
    <row r="49" spans="6:8">
      <c r="F49">
        <v>0.46</v>
      </c>
      <c r="G49" s="8">
        <f t="shared" si="0"/>
        <v>-9.8579035262787249E-4</v>
      </c>
      <c r="H49" s="8">
        <f t="shared" si="1"/>
        <v>-1.2519858738796677E-4</v>
      </c>
    </row>
    <row r="50" spans="6:8">
      <c r="F50">
        <v>0.47</v>
      </c>
      <c r="G50" s="8">
        <f t="shared" si="0"/>
        <v>-1.0292179052090362E-3</v>
      </c>
      <c r="H50" s="8">
        <f t="shared" si="1"/>
        <v>-2.8179302009690096E-5</v>
      </c>
    </row>
    <row r="51" spans="6:8">
      <c r="F51">
        <v>0.48</v>
      </c>
      <c r="G51" s="8">
        <f t="shared" si="0"/>
        <v>-1.0541386044324781E-3</v>
      </c>
      <c r="H51" s="8">
        <f t="shared" si="1"/>
        <v>5.3500694551468903E-5</v>
      </c>
    </row>
    <row r="52" spans="6:8">
      <c r="F52">
        <v>0.49</v>
      </c>
      <c r="G52" s="8">
        <f t="shared" si="0"/>
        <v>-1.0629844383985415E-3</v>
      </c>
      <c r="H52" s="8">
        <f t="shared" si="1"/>
        <v>1.2045095425048137E-4</v>
      </c>
    </row>
    <row r="53" spans="6:8">
      <c r="F53">
        <v>0.5</v>
      </c>
      <c r="G53" s="8">
        <f t="shared" si="0"/>
        <v>-1.0580184384220914E-3</v>
      </c>
      <c r="H53" s="8">
        <f t="shared" si="1"/>
        <v>1.7352681235331595E-4</v>
      </c>
    </row>
    <row r="54" spans="6:8">
      <c r="F54">
        <v>0.51</v>
      </c>
      <c r="G54" s="8">
        <f t="shared" si="0"/>
        <v>-1.0413329276190418E-3</v>
      </c>
      <c r="H54" s="8">
        <f t="shared" si="1"/>
        <v>2.1376873899723215E-4</v>
      </c>
    </row>
    <row r="55" spans="6:8">
      <c r="F55">
        <v>0.52</v>
      </c>
      <c r="G55" s="8">
        <f t="shared" si="0"/>
        <v>-1.0148500362982728E-3</v>
      </c>
      <c r="H55" s="8">
        <f t="shared" si="1"/>
        <v>2.423473409577721E-4</v>
      </c>
    </row>
    <row r="56" spans="6:8">
      <c r="F56">
        <v>0.53</v>
      </c>
      <c r="G56" s="8">
        <f t="shared" si="0"/>
        <v>-9.8032414429181816E-4</v>
      </c>
      <c r="H56" s="8">
        <f t="shared" si="1"/>
        <v>2.6051437480400027E-4</v>
      </c>
    </row>
    <row r="57" spans="6:8">
      <c r="F57">
        <v>0.54</v>
      </c>
      <c r="G57" s="8">
        <f t="shared" si="0"/>
        <v>-9.393459377276507E-4</v>
      </c>
      <c r="H57" s="8">
        <f t="shared" si="1"/>
        <v>2.6955993171497177E-4</v>
      </c>
    </row>
    <row r="58" spans="6:8">
      <c r="F58">
        <v>0.55000000000000004</v>
      </c>
      <c r="G58" s="8">
        <f t="shared" si="0"/>
        <v>-8.9334779476757647E-4</v>
      </c>
      <c r="H58" s="8">
        <f t="shared" si="1"/>
        <v>2.7077578269031545E-4</v>
      </c>
    </row>
    <row r="59" spans="6:8">
      <c r="F59">
        <v>0.56000000000000005</v>
      </c>
      <c r="G59" s="8">
        <f t="shared" si="0"/>
        <v>-8.4361024123194833E-4</v>
      </c>
      <c r="H59" s="8">
        <f t="shared" si="1"/>
        <v>2.6542472990552675E-4</v>
      </c>
    </row>
    <row r="60" spans="6:8">
      <c r="F60">
        <v>0.56999999999999995</v>
      </c>
      <c r="G60" s="8">
        <f t="shared" si="0"/>
        <v>-7.9126924259337555E-4</v>
      </c>
      <c r="H60" s="8">
        <f t="shared" si="1"/>
        <v>2.5471569418963251E-4</v>
      </c>
    </row>
    <row r="61" spans="6:8">
      <c r="F61">
        <v>0.57999999999999996</v>
      </c>
      <c r="G61" s="8">
        <f t="shared" si="0"/>
        <v>-7.373241233662619E-4</v>
      </c>
      <c r="H61" s="8">
        <f t="shared" si="1"/>
        <v>2.3978417827355346E-4</v>
      </c>
    </row>
    <row r="62" spans="6:8">
      <c r="F62">
        <v>0.59</v>
      </c>
      <c r="G62" s="8">
        <f t="shared" si="0"/>
        <v>-6.8264592830845718E-4</v>
      </c>
      <c r="H62" s="8">
        <f t="shared" si="1"/>
        <v>2.2167767849903702E-4</v>
      </c>
    </row>
    <row r="63" spans="6:8">
      <c r="F63">
        <v>0.6</v>
      </c>
      <c r="G63" s="8">
        <f t="shared" si="0"/>
        <v>-6.2798606198044907E-4</v>
      </c>
      <c r="H63" s="8">
        <f t="shared" si="1"/>
        <v>2.0134557181006286E-4</v>
      </c>
    </row>
    <row r="64" spans="6:8">
      <c r="F64">
        <v>0.61</v>
      </c>
      <c r="G64" s="8">
        <f t="shared" si="0"/>
        <v>-5.7398506400159889E-4</v>
      </c>
      <c r="H64" s="8">
        <f t="shared" si="1"/>
        <v>1.7963297767103627E-4</v>
      </c>
    </row>
    <row r="65" spans="6:8">
      <c r="F65">
        <v>0.62</v>
      </c>
      <c r="G65" s="8">
        <f t="shared" si="0"/>
        <v>-5.211813967536962E-4</v>
      </c>
      <c r="H65" s="8">
        <f t="shared" si="1"/>
        <v>1.5727808362518003E-4</v>
      </c>
    </row>
    <row r="66" spans="6:8">
      <c r="F66">
        <v>0.63</v>
      </c>
      <c r="G66" s="8">
        <f t="shared" si="0"/>
        <v>-4.7002014028498098E-4</v>
      </c>
      <c r="H66" s="8">
        <f t="shared" si="1"/>
        <v>1.3491242609966816E-4</v>
      </c>
    </row>
    <row r="67" spans="6:8">
      <c r="F67">
        <v>0.64</v>
      </c>
      <c r="G67" s="8">
        <f t="shared" si="0"/>
        <v>-4.2086150575812621E-4</v>
      </c>
      <c r="H67" s="8">
        <f t="shared" si="1"/>
        <v>1.1306363243313413E-4</v>
      </c>
    </row>
    <row r="68" spans="6:8">
      <c r="F68">
        <v>0.65</v>
      </c>
      <c r="G68" s="8">
        <f t="shared" si="0"/>
        <v>-3.7398909397630702E-4</v>
      </c>
      <c r="H68" s="8">
        <f t="shared" si="1"/>
        <v>9.2160153715618954E-5</v>
      </c>
    </row>
    <row r="69" spans="6:8">
      <c r="F69">
        <v>0.66</v>
      </c>
      <c r="G69" s="8">
        <f t="shared" ref="G69:G103" si="2">IF($G$3="Overdamped",EXP(-$C$12*$C$14*F69)*((($C$16+($C$12*$C$14+$C$20)*$C$17)/2*$C$20)*EXP($C$20*F69)-(($C$16+($C$12*$C$14-$C$20)*$C$17)/2*$C$20)*EXP(-$C$20*F69)),IF($G$3="Underdamped",EXP(-$C$12*$C$14*F69)*($C$17*COS($C$20*F69)+(($C$16+$C$12*$C$14*$C$17)/$C$20)*SIN($C$20*F69)),($C$17+($C$16+$C$14*$C$17)*F69)*EXP(-$C$14*F69)))</f>
        <v>-3.2961783933974602E-4</v>
      </c>
      <c r="H69" s="8">
        <f t="shared" ref="H69:H103" si="3">IF($H$3="Overdamped",EXP(-$C$13*$C$15*F69)*((($C$16+($C$13*$C$15+$C$21)*$C$18)/2*$C$21)*EXP($C$21*F69)-(($C$16+($C$13*$C$15-$C$21)*$C$18)/2*$C$21)*EXP(-$C$21*F69)),IF($H$3="Underdamped",EXP(-$C$13*$C$15*F69)*($C$18*COS($C$21*F69)+(($C$16+$C$13*$C$15*$C$18)/$C$21)*SIN($C$21*F69)),($C$18+($C$16+$C$15*$C$18)*F69)*EXP(-$C$15*F69)))</f>
        <v>7.2537548810702545E-5</v>
      </c>
    </row>
    <row r="70" spans="6:8">
      <c r="F70">
        <v>0.67</v>
      </c>
      <c r="G70" s="8">
        <f t="shared" si="2"/>
        <v>-2.879015920704837E-4</v>
      </c>
      <c r="H70" s="8">
        <f t="shared" si="3"/>
        <v>5.4445915969010077E-5</v>
      </c>
    </row>
    <row r="71" spans="6:8">
      <c r="F71">
        <v>0.68</v>
      </c>
      <c r="G71" s="8">
        <f t="shared" si="2"/>
        <v>-2.4894030274493867E-4</v>
      </c>
      <c r="H71" s="8">
        <f t="shared" si="3"/>
        <v>3.8058108026651068E-5</v>
      </c>
    </row>
    <row r="72" spans="6:8">
      <c r="F72">
        <v>0.69</v>
      </c>
      <c r="G72" s="8">
        <f t="shared" si="2"/>
        <v>-2.1278678314929635E-4</v>
      </c>
      <c r="H72" s="8">
        <f t="shared" si="3"/>
        <v>2.3478408796045867E-5</v>
      </c>
    </row>
    <row r="73" spans="6:8">
      <c r="F73">
        <v>0.7</v>
      </c>
      <c r="G73" s="8">
        <f t="shared" si="2"/>
        <v>-1.7945302628504417E-4</v>
      </c>
      <c r="H73" s="8">
        <f t="shared" si="3"/>
        <v>1.0751390586894963E-5</v>
      </c>
    </row>
    <row r="74" spans="6:8">
      <c r="F74">
        <v>0.71</v>
      </c>
      <c r="G74" s="8">
        <f t="shared" si="2"/>
        <v>-1.489160760687197E-4</v>
      </c>
      <c r="H74" s="8">
        <f t="shared" si="3"/>
        <v>-1.2928527168554293E-7</v>
      </c>
    </row>
    <row r="75" spans="6:8">
      <c r="F75">
        <v>0.72</v>
      </c>
      <c r="G75" s="8">
        <f t="shared" si="2"/>
        <v>-1.2112344396156549E-4</v>
      </c>
      <c r="H75" s="8">
        <f t="shared" si="3"/>
        <v>-9.212322421014357E-6</v>
      </c>
    </row>
    <row r="76" spans="6:8">
      <c r="F76">
        <v>0.73</v>
      </c>
      <c r="G76" s="8">
        <f t="shared" si="2"/>
        <v>-9.5998075503614508E-5</v>
      </c>
      <c r="H76" s="8">
        <f t="shared" si="3"/>
        <v>-1.6580656927120392E-5</v>
      </c>
    </row>
    <row r="77" spans="6:8">
      <c r="F77">
        <v>0.74</v>
      </c>
      <c r="G77" s="8">
        <f t="shared" si="2"/>
        <v>-7.3442874585426913E-5</v>
      </c>
      <c r="H77" s="8">
        <f t="shared" si="3"/>
        <v>-2.2343861213929468E-5</v>
      </c>
    </row>
    <row r="78" spans="6:8">
      <c r="F78">
        <v>0.75</v>
      </c>
      <c r="G78" s="8">
        <f t="shared" si="2"/>
        <v>-5.3344797341773623E-5</v>
      </c>
      <c r="H78" s="8">
        <f t="shared" si="3"/>
        <v>-2.6631174587050491E-5</v>
      </c>
    </row>
    <row r="79" spans="6:8">
      <c r="F79">
        <v>0.76</v>
      </c>
      <c r="G79" s="8">
        <f t="shared" si="2"/>
        <v>-3.5578530866211657E-5</v>
      </c>
      <c r="H79" s="8">
        <f t="shared" si="3"/>
        <v>-2.9585220865176715E-5</v>
      </c>
    </row>
    <row r="80" spans="6:8">
      <c r="F80">
        <v>0.77</v>
      </c>
      <c r="G80" s="8">
        <f t="shared" si="2"/>
        <v>-2.0009774593197077E-5</v>
      </c>
      <c r="H80" s="8">
        <f t="shared" si="3"/>
        <v>-3.1356447499788747E-5</v>
      </c>
    </row>
    <row r="81" spans="6:8">
      <c r="F81">
        <v>0.78</v>
      </c>
      <c r="G81" s="8">
        <f t="shared" si="2"/>
        <v>-6.4981442421593327E-6</v>
      </c>
      <c r="H81" s="8">
        <f t="shared" si="3"/>
        <v>-3.2098297929946986E-5</v>
      </c>
    </row>
    <row r="82" spans="6:8">
      <c r="F82">
        <v>0.79</v>
      </c>
      <c r="G82" s="8">
        <f t="shared" si="2"/>
        <v>5.1002802699231782E-6</v>
      </c>
      <c r="H82" s="8">
        <f t="shared" si="3"/>
        <v>-3.1963109741991765E-5</v>
      </c>
    </row>
    <row r="83" spans="6:8">
      <c r="F83">
        <v>0.8</v>
      </c>
      <c r="G83" s="8">
        <f t="shared" si="2"/>
        <v>1.4930740503368359E-5</v>
      </c>
      <c r="H83" s="8">
        <f t="shared" si="3"/>
        <v>-3.1098715364639758E-5</v>
      </c>
    </row>
    <row r="84" spans="6:8">
      <c r="F84">
        <v>0.81</v>
      </c>
      <c r="G84" s="8">
        <f t="shared" si="2"/>
        <v>2.3137895693357735E-5</v>
      </c>
      <c r="H84" s="8">
        <f t="shared" si="3"/>
        <v>-2.9645709350187799E-5</v>
      </c>
    </row>
    <row r="85" spans="6:8">
      <c r="F85">
        <v>0.82</v>
      </c>
      <c r="G85" s="8">
        <f t="shared" si="2"/>
        <v>2.9864206147709143E-5</v>
      </c>
      <c r="H85" s="8">
        <f t="shared" si="3"/>
        <v>-2.7735336549320033E-5</v>
      </c>
    </row>
    <row r="86" spans="6:8">
      <c r="F86">
        <v>0.83</v>
      </c>
      <c r="G86" s="8">
        <f t="shared" si="2"/>
        <v>3.5248580576959777E-5</v>
      </c>
      <c r="H86" s="8">
        <f t="shared" si="3"/>
        <v>-2.5487948425089558E-5</v>
      </c>
    </row>
    <row r="87" spans="6:8">
      <c r="F87">
        <v>0.84</v>
      </c>
      <c r="G87" s="8">
        <f t="shared" si="2"/>
        <v>3.9425264409245085E-5</v>
      </c>
      <c r="H87" s="8">
        <f t="shared" si="3"/>
        <v>-2.3011970094821697E-5</v>
      </c>
    </row>
    <row r="88" spans="6:8">
      <c r="F88">
        <v>0.85</v>
      </c>
      <c r="G88" s="8">
        <f t="shared" si="2"/>
        <v>4.2522946685723896E-5</v>
      </c>
      <c r="H88" s="8">
        <f t="shared" si="3"/>
        <v>-2.040331814975837E-5</v>
      </c>
    </row>
    <row r="89" spans="6:8">
      <c r="F89">
        <v>0.86</v>
      </c>
      <c r="G89" s="8">
        <f t="shared" si="2"/>
        <v>4.4664063859204509E-5</v>
      </c>
      <c r="H89" s="8">
        <f t="shared" si="3"/>
        <v>-1.7745208591618157E-5</v>
      </c>
    </row>
    <row r="90" spans="6:8">
      <c r="F90">
        <v>0.87</v>
      </c>
      <c r="G90" s="8">
        <f t="shared" si="2"/>
        <v>4.596427969360171E-5</v>
      </c>
      <c r="H90" s="8">
        <f t="shared" si="3"/>
        <v>-1.510829505804355E-5</v>
      </c>
    </row>
    <row r="91" spans="6:8">
      <c r="F91">
        <v>0.88</v>
      </c>
      <c r="G91" s="8">
        <f t="shared" si="2"/>
        <v>4.6532121452776412E-5</v>
      </c>
      <c r="H91" s="8">
        <f t="shared" si="3"/>
        <v>-1.2551079610998092E-5</v>
      </c>
    </row>
    <row r="92" spans="6:8">
      <c r="F92">
        <v>0.89</v>
      </c>
      <c r="G92" s="8">
        <f t="shared" si="2"/>
        <v>4.6468753645462487E-5</v>
      </c>
      <c r="H92" s="8">
        <f t="shared" si="3"/>
        <v>-1.0120541474788641E-5</v>
      </c>
    </row>
    <row r="93" spans="6:8">
      <c r="F93">
        <v>0.9</v>
      </c>
      <c r="G93" s="8">
        <f t="shared" si="2"/>
        <v>4.5867871732818004E-5</v>
      </c>
      <c r="H93" s="8">
        <f t="shared" si="3"/>
        <v>-7.8529329936689006E-6</v>
      </c>
    </row>
    <row r="94" spans="6:8">
      <c r="F94">
        <v>0.91</v>
      </c>
      <c r="G94" s="8">
        <f t="shared" si="2"/>
        <v>4.4815699384172189E-5</v>
      </c>
      <c r="H94" s="8">
        <f t="shared" si="3"/>
        <v>-5.7746965145185805E-6</v>
      </c>
    </row>
    <row r="95" spans="6:8">
      <c r="F95">
        <v>0.92</v>
      </c>
      <c r="G95" s="8">
        <f t="shared" si="2"/>
        <v>4.3391074065110075E-5</v>
      </c>
      <c r="H95" s="8">
        <f t="shared" si="3"/>
        <v>-3.9034606925134003E-6</v>
      </c>
    </row>
    <row r="96" spans="6:8">
      <c r="F96">
        <v>0.93</v>
      </c>
      <c r="G96" s="8">
        <f t="shared" si="2"/>
        <v>4.16656069431774E-5</v>
      </c>
      <c r="H96" s="8">
        <f t="shared" si="3"/>
        <v>-2.2490796954679259E-6</v>
      </c>
    </row>
    <row r="97" spans="6:8">
      <c r="F97">
        <v>0.94</v>
      </c>
      <c r="G97" s="8">
        <f t="shared" si="2"/>
        <v>3.9703904285674156E-5</v>
      </c>
      <c r="H97" s="8">
        <f t="shared" si="3"/>
        <v>-8.1468379803704435E-7</v>
      </c>
    </row>
    <row r="98" spans="6:8">
      <c r="F98">
        <v>0.95</v>
      </c>
      <c r="G98" s="8">
        <f t="shared" si="2"/>
        <v>3.7563838689008751E-5</v>
      </c>
      <c r="H98" s="8">
        <f t="shared" si="3"/>
        <v>4.0228521393957472E-7</v>
      </c>
    </row>
    <row r="99" spans="6:8">
      <c r="F99">
        <v>0.96</v>
      </c>
      <c r="G99" s="8">
        <f t="shared" si="2"/>
        <v>3.5296859609755653E-5</v>
      </c>
      <c r="H99" s="8">
        <f t="shared" si="3"/>
        <v>1.4090756676164834E-6</v>
      </c>
    </row>
    <row r="100" spans="6:8">
      <c r="F100">
        <v>0.97</v>
      </c>
      <c r="G100" s="8">
        <f t="shared" si="2"/>
        <v>3.2948333755645432E-5</v>
      </c>
      <c r="H100" s="8">
        <f t="shared" si="3"/>
        <v>2.2166820219615986E-6</v>
      </c>
    </row>
    <row r="101" spans="6:8">
      <c r="F101">
        <v>0.98</v>
      </c>
      <c r="G101" s="8">
        <f t="shared" si="2"/>
        <v>3.0557906933686943E-5</v>
      </c>
      <c r="H101" s="8">
        <f t="shared" si="3"/>
        <v>2.838968504156289E-6</v>
      </c>
    </row>
    <row r="102" spans="6:8">
      <c r="F102">
        <v>0.99</v>
      </c>
      <c r="G102" s="8">
        <f t="shared" si="2"/>
        <v>2.8159879937480949E-5</v>
      </c>
      <c r="H102" s="8">
        <f t="shared" si="3"/>
        <v>3.2918698158008282E-6</v>
      </c>
    </row>
    <row r="103" spans="6:8">
      <c r="F103">
        <v>1</v>
      </c>
      <c r="G103" s="8">
        <f t="shared" si="2"/>
        <v>2.5783591982910632E-5</v>
      </c>
      <c r="H103" s="8">
        <f t="shared" si="3"/>
        <v>3.5926749901189281E-6</v>
      </c>
    </row>
  </sheetData>
  <mergeCells count="1">
    <mergeCell ref="F1:H1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3ABE933-02C8-42F4-82E0-67F7032D2277}">
          <x14:formula1>
            <xm:f>'Weight Bias'!$A$3:$A$7</xm:f>
          </x14:formula1>
          <xm:sqref>C26</xm:sqref>
        </x14:dataValidation>
        <x14:dataValidation type="list" errorStyle="warning" allowBlank="1" showInputMessage="1" showErrorMessage="1" xr:uid="{035D0672-E2A5-4627-8BC5-8A4041E127A1}">
          <x14:formula1>
            <xm:f>'Weight Bias'!$N$3:$N$4</xm:f>
          </x14:formula1>
          <xm:sqref>C25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13F92-1990-412F-A682-3CA04D257D68}">
  <sheetPr codeName="Sheet5"/>
  <dimension ref="A1:Q103"/>
  <sheetViews>
    <sheetView workbookViewId="0">
      <selection activeCell="A34" sqref="A34"/>
    </sheetView>
  </sheetViews>
  <sheetFormatPr defaultColWidth="8.85546875" defaultRowHeight="15"/>
  <cols>
    <col min="1" max="1" width="22.42578125" customWidth="1"/>
    <col min="2" max="2" width="5.42578125" customWidth="1"/>
    <col min="3" max="3" width="11.140625" customWidth="1"/>
    <col min="4" max="4" width="7.85546875" customWidth="1"/>
    <col min="7" max="7" width="12.42578125" bestFit="1" customWidth="1"/>
    <col min="8" max="8" width="13.85546875" bestFit="1" customWidth="1"/>
    <col min="14" max="14" width="24" bestFit="1" customWidth="1"/>
  </cols>
  <sheetData>
    <row r="1" spans="1:17">
      <c r="F1" s="51" t="s">
        <v>0</v>
      </c>
      <c r="G1" s="52"/>
      <c r="H1" s="52"/>
      <c r="N1" s="45" t="s">
        <v>153</v>
      </c>
      <c r="O1" s="45" t="s">
        <v>154</v>
      </c>
      <c r="P1" s="45">
        <v>2.23</v>
      </c>
      <c r="Q1" s="45" t="s">
        <v>38</v>
      </c>
    </row>
    <row r="2" spans="1:17">
      <c r="A2" s="2" t="s">
        <v>1</v>
      </c>
      <c r="B2" s="3"/>
      <c r="C2" s="3"/>
      <c r="D2" s="3"/>
      <c r="G2" t="s">
        <v>2</v>
      </c>
      <c r="H2" t="s">
        <v>3</v>
      </c>
      <c r="N2" s="45" t="s">
        <v>155</v>
      </c>
      <c r="O2" s="45" t="s">
        <v>156</v>
      </c>
      <c r="P2" s="45">
        <v>0.20300000000000001</v>
      </c>
      <c r="Q2" s="45" t="s">
        <v>11</v>
      </c>
    </row>
    <row r="3" spans="1:17">
      <c r="A3" s="3" t="s">
        <v>4</v>
      </c>
      <c r="B3" s="3" t="s">
        <v>5</v>
      </c>
      <c r="C3" s="1">
        <v>14.06</v>
      </c>
      <c r="D3" s="3" t="s">
        <v>6</v>
      </c>
      <c r="F3" s="5" t="s">
        <v>7</v>
      </c>
      <c r="G3" s="6" t="str">
        <f>IF(C12&gt;1, "Overdamped",IF(C12&lt;1,"Underdamped","Critically Damped"))</f>
        <v>Underdamped</v>
      </c>
      <c r="H3" s="6" t="str">
        <f>IF(C13&gt;1, "Overdamped",IF(C13&lt;1,"Underdamped","Critically Damped"))</f>
        <v>Underdamped</v>
      </c>
      <c r="N3" s="45" t="s">
        <v>157</v>
      </c>
      <c r="O3" s="45" t="s">
        <v>158</v>
      </c>
      <c r="P3" s="45">
        <v>1.22</v>
      </c>
      <c r="Q3" s="45" t="s">
        <v>33</v>
      </c>
    </row>
    <row r="4" spans="1:17">
      <c r="A4" s="3" t="s">
        <v>8</v>
      </c>
      <c r="B4" s="3" t="s">
        <v>9</v>
      </c>
      <c r="C4" s="3">
        <f>'Shock Setup'!B2</f>
        <v>95</v>
      </c>
      <c r="D4" s="3" t="s">
        <v>6</v>
      </c>
      <c r="F4">
        <v>0.01</v>
      </c>
      <c r="G4" s="8">
        <f>IF($G$3="Overdamped",EXP(-$C$12*$C$14*F4)*((($C$16+($C$12*$C$14+$C$20)*$C$17)/2*$C$20)*EXP($C$20*F4)-(($C$16+($C$12*$C$14-$C$20)*$C$17)/2*$C$20)*EXP(-$C$20*F4)),IF($G$3="Underdamped",EXP(-$C$12*$C$14*F4)*($C$17*COS($C$20*F4)+(($C$16+$C$12*$C$14*$C$17)/$C$20)*SIN($C$20*F4)),($C$17+($C$16+$C$14*$C$17)*F4)*EXP(-$C$14*F4)))</f>
        <v>1.1346892796691644E-2</v>
      </c>
      <c r="H4" s="8">
        <f>IF($H$3="Overdamped",EXP(-$C$13*$C$15*F4)*((($C$16+($C$13*$C$15+$C$21)*$C$18)/2*$C$21)*EXP($C$21*F4)-(($C$16+($C$13*$C$15-$C$21)*$C$18)/2*$C$21)*EXP(-$C$21*F4)),IF($H$3="Underdamped",EXP(-$C$13*$C$15*F4)*($C$18*COS($C$21*F4)+(($C$16+$C$13*$C$15*$C$18)/$C$21)*SIN($C$21*F4)),($C$18+($C$16+$C$15*$C$18)*F4)*EXP(-$C$15*F4)))</f>
        <v>1.0455605414209838E-2</v>
      </c>
    </row>
    <row r="5" spans="1:17">
      <c r="A5" s="3" t="s">
        <v>10</v>
      </c>
      <c r="B5" s="3" t="s">
        <v>11</v>
      </c>
      <c r="C5" s="37">
        <f>C3+C4</f>
        <v>109.06</v>
      </c>
      <c r="D5" s="3" t="s">
        <v>6</v>
      </c>
      <c r="F5">
        <v>0.02</v>
      </c>
      <c r="G5" s="8">
        <f t="shared" ref="G5:G68" si="0">IF($G$3="Overdamped",EXP(-$C$12*$C$14*F5)*((($C$16+($C$12*$C$14+$C$20)*$C$17)/2*$C$20)*EXP($C$20*F5)-(($C$16+($C$12*$C$14-$C$20)*$C$17)/2*$C$20)*EXP(-$C$20*F5)),IF($G$3="Underdamped",EXP(-$C$12*$C$14*F5)*($C$17*COS($C$20*F5)+(($C$16+$C$12*$C$14*$C$17)/$C$20)*SIN($C$20*F5)),($C$17+($C$16+$C$14*$C$17)*F5)*EXP(-$C$14*F5)))</f>
        <v>2.1423031736820586E-2</v>
      </c>
      <c r="H5" s="8">
        <f t="shared" ref="H5:H68" si="1">IF($H$3="Overdamped",EXP(-$C$13*$C$15*F5)*((($C$16+($C$13*$C$15+$C$21)*$C$18)/2*$C$21)*EXP($C$21*F5)-(($C$16+($C$13*$C$15-$C$21)*$C$18)/2*$C$21)*EXP(-$C$21*F5)),IF($H$3="Underdamped",EXP(-$C$13*$C$15*F5)*($C$18*COS($C$21*F5)+(($C$16+$C$13*$C$15*$C$18)/$C$21)*SIN($C$21*F5)),($C$18+($C$16+$C$15*$C$18)*F5)*EXP(-$C$15*F5)))</f>
        <v>1.8125583597383706E-2</v>
      </c>
    </row>
    <row r="6" spans="1:17">
      <c r="A6" s="3" t="s">
        <v>12</v>
      </c>
      <c r="B6" s="35" t="s">
        <v>13</v>
      </c>
      <c r="C6" s="34">
        <f>IF(C25="Ascending",('Shock Setup'!B2+C3)*VLOOKUP(C26,'Weight Bias'!A11:K15,8,FALSE),( 'Shock Setup'!B2+C3)*VLOOKUP(C26,'Weight Bias'!A3:K7,8,FALSE))</f>
        <v>49.879725889266005</v>
      </c>
      <c r="D6" s="36" t="s">
        <v>6</v>
      </c>
      <c r="F6">
        <v>0.03</v>
      </c>
      <c r="G6" s="8">
        <f t="shared" si="0"/>
        <v>3.0284631105639264E-2</v>
      </c>
      <c r="H6" s="8">
        <f t="shared" si="1"/>
        <v>2.3443352411589111E-2</v>
      </c>
    </row>
    <row r="7" spans="1:17">
      <c r="A7" s="3" t="s">
        <v>14</v>
      </c>
      <c r="B7" s="35" t="s">
        <v>15</v>
      </c>
      <c r="C7" s="34">
        <f>IF(C25="Ascending",('Shock Setup'!B2+C3)*VLOOKUP(C26,'Weight Bias'!A11:K15,9,FALSE),( 'Shock Setup'!B2+C3)*VLOOKUP(C26,'Weight Bias'!A3:K7,9,FALSE))</f>
        <v>59.180274110733997</v>
      </c>
      <c r="D7" s="36" t="s">
        <v>6</v>
      </c>
      <c r="F7">
        <v>0.04</v>
      </c>
      <c r="G7" s="8">
        <f t="shared" si="0"/>
        <v>3.7991252035481649E-2</v>
      </c>
      <c r="H7" s="8">
        <f t="shared" si="1"/>
        <v>2.6809112745446475E-2</v>
      </c>
    </row>
    <row r="8" spans="1:17">
      <c r="A8" s="3" t="s">
        <v>16</v>
      </c>
      <c r="B8" s="3" t="s">
        <v>17</v>
      </c>
      <c r="C8" s="38">
        <v>4000</v>
      </c>
      <c r="D8" s="3" t="s">
        <v>18</v>
      </c>
      <c r="F8">
        <v>0.05</v>
      </c>
      <c r="G8" s="8">
        <f t="shared" si="0"/>
        <v>4.4605001139122399E-2</v>
      </c>
      <c r="H8" s="8">
        <f t="shared" si="1"/>
        <v>2.8585900037762759E-2</v>
      </c>
    </row>
    <row r="9" spans="1:17">
      <c r="A9" s="3" t="s">
        <v>19</v>
      </c>
      <c r="B9" s="3" t="s">
        <v>20</v>
      </c>
      <c r="C9" s="1">
        <v>20000</v>
      </c>
      <c r="D9" s="3" t="s">
        <v>18</v>
      </c>
      <c r="F9">
        <v>0.06</v>
      </c>
      <c r="G9" s="8">
        <f t="shared" si="0"/>
        <v>5.0189793493707814E-2</v>
      </c>
      <c r="H9" s="8">
        <f t="shared" si="1"/>
        <v>2.9097668626659402E-2</v>
      </c>
    </row>
    <row r="10" spans="1:17">
      <c r="A10" s="3" t="s">
        <v>21</v>
      </c>
      <c r="B10" s="4" t="s">
        <v>22</v>
      </c>
      <c r="C10" s="1">
        <v>550</v>
      </c>
      <c r="D10" s="3" t="s">
        <v>23</v>
      </c>
      <c r="F10">
        <v>7.0000000000000007E-2</v>
      </c>
      <c r="G10" s="8">
        <f t="shared" si="0"/>
        <v>5.4810678849246015E-2</v>
      </c>
      <c r="H10" s="8">
        <f t="shared" si="1"/>
        <v>2.862898392365501E-2</v>
      </c>
    </row>
    <row r="11" spans="1:17">
      <c r="A11" s="3" t="s">
        <v>24</v>
      </c>
      <c r="B11" s="4" t="s">
        <v>25</v>
      </c>
      <c r="C11" s="1">
        <v>1600</v>
      </c>
      <c r="D11" s="3" t="s">
        <v>23</v>
      </c>
      <c r="F11">
        <v>0.08</v>
      </c>
      <c r="G11" s="8">
        <f t="shared" si="0"/>
        <v>5.8533229573460792E-2</v>
      </c>
      <c r="H11" s="8">
        <f t="shared" si="1"/>
        <v>2.7425950615846618E-2</v>
      </c>
    </row>
    <row r="12" spans="1:17">
      <c r="A12" s="3" t="s">
        <v>26</v>
      </c>
      <c r="B12" s="4" t="s">
        <v>27</v>
      </c>
      <c r="C12" s="7">
        <f>C10/(2*SQRT(C6*C8))</f>
        <v>0.61565961878281694</v>
      </c>
      <c r="D12" s="3" t="s">
        <v>28</v>
      </c>
      <c r="F12">
        <v>0.09</v>
      </c>
      <c r="G12" s="8">
        <f t="shared" si="0"/>
        <v>6.142298853173745E-2</v>
      </c>
      <c r="H12" s="8">
        <f t="shared" si="1"/>
        <v>2.5698056677995709E-2</v>
      </c>
    </row>
    <row r="13" spans="1:17">
      <c r="A13" s="3" t="s">
        <v>29</v>
      </c>
      <c r="B13" s="4" t="s">
        <v>30</v>
      </c>
      <c r="C13" s="7">
        <f>C11/(2*SQRT(C7*C9))</f>
        <v>0.73533714225894009</v>
      </c>
      <c r="D13" s="3" t="s">
        <v>28</v>
      </c>
      <c r="F13">
        <v>0.1</v>
      </c>
      <c r="G13" s="8">
        <f t="shared" si="0"/>
        <v>6.3544974834165463E-2</v>
      </c>
      <c r="H13" s="8">
        <f t="shared" si="1"/>
        <v>2.3620661791872839E-2</v>
      </c>
    </row>
    <row r="14" spans="1:17">
      <c r="A14" s="3" t="s">
        <v>31</v>
      </c>
      <c r="B14" s="4" t="s">
        <v>32</v>
      </c>
      <c r="C14" s="7">
        <f>SQRT(C8/C6)</f>
        <v>8.9550490004773362</v>
      </c>
      <c r="D14" s="3" t="s">
        <v>33</v>
      </c>
      <c r="F14">
        <v>0.11</v>
      </c>
      <c r="G14" s="8">
        <f t="shared" si="0"/>
        <v>6.4963245158498439E-2</v>
      </c>
      <c r="H14" s="8">
        <f t="shared" si="1"/>
        <v>2.1337904035755577E-2</v>
      </c>
    </row>
    <row r="15" spans="1:17">
      <c r="A15" s="3" t="s">
        <v>34</v>
      </c>
      <c r="B15" s="4" t="s">
        <v>35</v>
      </c>
      <c r="C15" s="7">
        <f>SQRT(C9/C7)</f>
        <v>18.3834285564735</v>
      </c>
      <c r="D15" s="3" t="s">
        <v>33</v>
      </c>
      <c r="F15">
        <v>0.12</v>
      </c>
      <c r="G15" s="8">
        <f t="shared" si="0"/>
        <v>6.5740508175354803E-2</v>
      </c>
      <c r="H15" s="8">
        <f t="shared" si="1"/>
        <v>1.8965839926855507E-2</v>
      </c>
    </row>
    <row r="16" spans="1:17">
      <c r="A16" s="3" t="s">
        <v>36</v>
      </c>
      <c r="B16" s="3" t="s">
        <v>37</v>
      </c>
      <c r="C16" s="1">
        <v>1.2</v>
      </c>
      <c r="D16" s="3" t="s">
        <v>38</v>
      </c>
      <c r="F16">
        <v>0.13</v>
      </c>
      <c r="G16" s="8">
        <f t="shared" si="0"/>
        <v>6.5937789457307036E-2</v>
      </c>
      <c r="H16" s="8">
        <f t="shared" si="1"/>
        <v>1.6595669814897462E-2</v>
      </c>
    </row>
    <row r="17" spans="1:8">
      <c r="A17" s="3" t="s">
        <v>39</v>
      </c>
      <c r="B17" s="3" t="s">
        <v>40</v>
      </c>
      <c r="C17" s="1">
        <v>0</v>
      </c>
      <c r="D17" s="3" t="s">
        <v>11</v>
      </c>
      <c r="E17" s="44">
        <v>0.03</v>
      </c>
      <c r="F17">
        <v>0.14000000000000001</v>
      </c>
      <c r="G17" s="8">
        <f t="shared" si="0"/>
        <v>6.5614144143806605E-2</v>
      </c>
      <c r="H17" s="8">
        <f t="shared" si="1"/>
        <v>1.4296933165723748E-2</v>
      </c>
    </row>
    <row r="18" spans="1:8">
      <c r="A18" s="3" t="s">
        <v>41</v>
      </c>
      <c r="B18" s="3" t="s">
        <v>42</v>
      </c>
      <c r="C18" s="1">
        <v>0</v>
      </c>
      <c r="D18" s="3" t="s">
        <v>11</v>
      </c>
      <c r="E18" s="44">
        <v>1.4999999999999999E-2</v>
      </c>
      <c r="F18">
        <v>0.15</v>
      </c>
      <c r="G18" s="8">
        <f t="shared" si="0"/>
        <v>6.4826414556341819E-2</v>
      </c>
      <c r="H18" s="8">
        <f t="shared" si="1"/>
        <v>1.2120586515132268E-2</v>
      </c>
    </row>
    <row r="19" spans="1:8">
      <c r="A19" s="9" t="s">
        <v>43</v>
      </c>
      <c r="B19" s="9" t="s">
        <v>44</v>
      </c>
      <c r="C19" s="10">
        <f>C16/C24</f>
        <v>0.48</v>
      </c>
      <c r="D19" s="9" t="s">
        <v>38</v>
      </c>
      <c r="F19">
        <v>0.16</v>
      </c>
      <c r="G19" s="8">
        <f t="shared" si="0"/>
        <v>6.3629029910062959E-2</v>
      </c>
      <c r="H19" s="8">
        <f t="shared" si="1"/>
        <v>1.0101900999737993E-2</v>
      </c>
    </row>
    <row r="20" spans="1:8">
      <c r="A20" s="3" t="s">
        <v>45</v>
      </c>
      <c r="B20" s="3" t="s">
        <v>46</v>
      </c>
      <c r="C20" s="7">
        <f>IF(C12&gt;1.0001,C14*SQRT(C12^2-1),IF(C12&lt;0.9999,C14*SQRT(1-C12^2),1))</f>
        <v>7.056687900630874</v>
      </c>
      <c r="D20" s="3" t="s">
        <v>33</v>
      </c>
      <c r="F20">
        <v>0.17</v>
      </c>
      <c r="G20" s="8">
        <f t="shared" si="0"/>
        <v>6.207384524662813E-2</v>
      </c>
      <c r="H20" s="8">
        <f t="shared" si="1"/>
        <v>8.2631366458116775E-3</v>
      </c>
    </row>
    <row r="21" spans="1:8">
      <c r="A21" s="3" t="s">
        <v>47</v>
      </c>
      <c r="B21" s="3" t="s">
        <v>48</v>
      </c>
      <c r="C21" s="7">
        <f>IF(C13&gt;1.0001,C15*SQRT(C13^2-1),IF(C13&lt;0.9999,C15*SQRT(1-C13^2),1))</f>
        <v>12.458476621116171</v>
      </c>
      <c r="D21" s="3" t="s">
        <v>33</v>
      </c>
      <c r="F21">
        <v>0.18</v>
      </c>
      <c r="G21" s="8">
        <f t="shared" si="0"/>
        <v>6.0210016715601257E-2</v>
      </c>
      <c r="H21" s="8">
        <f t="shared" si="1"/>
        <v>6.6159673327471037E-3</v>
      </c>
    </row>
    <row r="22" spans="1:8">
      <c r="A22" s="3" t="s">
        <v>49</v>
      </c>
      <c r="B22" s="3" t="s">
        <v>50</v>
      </c>
      <c r="C22" s="1">
        <v>0.15</v>
      </c>
      <c r="D22" s="3" t="s">
        <v>11</v>
      </c>
      <c r="F22">
        <v>0.19</v>
      </c>
      <c r="G22" s="8">
        <f t="shared" si="0"/>
        <v>5.8083910355841553E-2</v>
      </c>
      <c r="H22" s="8">
        <f t="shared" si="1"/>
        <v>5.1636438891024478E-3</v>
      </c>
    </row>
    <row r="23" spans="1:8">
      <c r="A23" s="3" t="s">
        <v>51</v>
      </c>
      <c r="B23" s="3" t="s">
        <v>52</v>
      </c>
      <c r="C23" s="1">
        <v>0.05</v>
      </c>
      <c r="D23" s="3" t="s">
        <v>11</v>
      </c>
      <c r="F23">
        <v>0.2</v>
      </c>
      <c r="G23" s="8">
        <f t="shared" si="0"/>
        <v>5.5739041571527814E-2</v>
      </c>
      <c r="H23" s="8">
        <f t="shared" si="1"/>
        <v>3.90289348293409E-3</v>
      </c>
    </row>
    <row r="24" spans="1:8">
      <c r="A24" s="3" t="s">
        <v>53</v>
      </c>
      <c r="B24" s="3" t="s">
        <v>54</v>
      </c>
      <c r="C24" s="1">
        <v>2.5</v>
      </c>
      <c r="D24" s="3" t="s">
        <v>55</v>
      </c>
      <c r="F24">
        <v>0.21</v>
      </c>
      <c r="G24" s="8">
        <f t="shared" si="0"/>
        <v>5.3216042557442646E-2</v>
      </c>
      <c r="H24" s="8">
        <f t="shared" si="1"/>
        <v>2.825561690520157E-3</v>
      </c>
    </row>
    <row r="25" spans="1:8">
      <c r="A25" s="3" t="s">
        <v>56</v>
      </c>
      <c r="B25" s="3" t="s">
        <v>57</v>
      </c>
      <c r="C25" s="1" t="s">
        <v>58</v>
      </c>
      <c r="D25" s="3" t="s">
        <v>55</v>
      </c>
      <c r="F25">
        <v>0.22</v>
      </c>
      <c r="G25" s="8">
        <f t="shared" si="0"/>
        <v>5.0552655002690926E-2</v>
      </c>
      <c r="H25" s="8">
        <f t="shared" si="1"/>
        <v>1.9200097135906764E-3</v>
      </c>
    </row>
    <row r="26" spans="1:8">
      <c r="A26" s="3" t="s">
        <v>59</v>
      </c>
      <c r="B26" s="3" t="s">
        <v>60</v>
      </c>
      <c r="C26" s="16" t="s">
        <v>106</v>
      </c>
      <c r="D26" s="3"/>
      <c r="F26">
        <v>0.23</v>
      </c>
      <c r="G26" s="8">
        <f t="shared" si="0"/>
        <v>4.7783745489060878E-2</v>
      </c>
      <c r="H26" s="8">
        <f t="shared" si="1"/>
        <v>1.1722834912231354E-3</v>
      </c>
    </row>
    <row r="27" spans="1:8">
      <c r="A27" s="3" t="s">
        <v>62</v>
      </c>
      <c r="B27" s="3" t="s">
        <v>63</v>
      </c>
      <c r="C27" s="15">
        <f>IF(C25="Ascending",VLOOKUP(C26,'Weight Bias'!A11:K15,6,FALSE), VLOOKUP(C26,'Weight Bias'!A3:K7,6,FALSE))</f>
        <v>45.736040610000003</v>
      </c>
      <c r="D27" s="3" t="s">
        <v>64</v>
      </c>
      <c r="F27">
        <v>0.24</v>
      </c>
      <c r="G27" s="8">
        <f t="shared" si="0"/>
        <v>4.4941341097787094E-2</v>
      </c>
      <c r="H27" s="8">
        <f t="shared" si="1"/>
        <v>5.6707422113557186E-4</v>
      </c>
    </row>
    <row r="28" spans="1:8">
      <c r="A28" s="3" t="s">
        <v>65</v>
      </c>
      <c r="B28" s="3" t="s">
        <v>66</v>
      </c>
      <c r="C28" s="15">
        <f>IF(C25="Ascending",VLOOKUP(C26,'Weight Bias'!A11:K15,7,FALSE), VLOOKUP(C26,'Weight Bias'!A3:K7,7,FALSE))</f>
        <v>54.263959389999997</v>
      </c>
      <c r="D28" s="3" t="s">
        <v>64</v>
      </c>
      <c r="F28">
        <v>0.25</v>
      </c>
      <c r="G28" s="8">
        <f t="shared" si="0"/>
        <v>4.2054682844708362E-2</v>
      </c>
      <c r="H28" s="8">
        <f t="shared" si="1"/>
        <v>8.8491341574801664E-5</v>
      </c>
    </row>
    <row r="29" spans="1:8">
      <c r="F29">
        <v>0.26</v>
      </c>
      <c r="G29" s="8">
        <f t="shared" si="0"/>
        <v>3.9150294677013336E-2</v>
      </c>
      <c r="H29" s="8">
        <f t="shared" si="1"/>
        <v>-2.7933042413468657E-4</v>
      </c>
    </row>
    <row r="30" spans="1:8">
      <c r="F30">
        <v>0.27</v>
      </c>
      <c r="G30" s="8">
        <f t="shared" si="0"/>
        <v>3.6252065883349664E-2</v>
      </c>
      <c r="H30" s="8">
        <f t="shared" si="1"/>
        <v>-5.517685758275251E-4</v>
      </c>
    </row>
    <row r="31" spans="1:8">
      <c r="F31">
        <v>0.28000000000000003</v>
      </c>
      <c r="G31" s="8">
        <f t="shared" si="0"/>
        <v>3.3381344891575362E-2</v>
      </c>
      <c r="H31" s="8">
        <f t="shared" si="1"/>
        <v>-7.4337431040967907E-4</v>
      </c>
    </row>
    <row r="32" spans="1:8">
      <c r="F32">
        <v>0.28999999999999998</v>
      </c>
      <c r="G32" s="8">
        <f t="shared" si="0"/>
        <v>3.0557042553514744E-2</v>
      </c>
      <c r="H32" s="8">
        <f t="shared" si="1"/>
        <v>-8.6763859077988845E-4</v>
      </c>
    </row>
    <row r="33" spans="6:8">
      <c r="F33">
        <v>0.3</v>
      </c>
      <c r="G33" s="8">
        <f t="shared" si="0"/>
        <v>2.7795743142527585E-2</v>
      </c>
      <c r="H33" s="8">
        <f t="shared" si="1"/>
        <v>-9.3684493935944498E-4</v>
      </c>
    </row>
    <row r="34" spans="6:8">
      <c r="F34">
        <v>0.31</v>
      </c>
      <c r="G34" s="8">
        <f t="shared" si="0"/>
        <v>2.5111821416408806E-2</v>
      </c>
      <c r="H34" s="8">
        <f t="shared" si="1"/>
        <v>-9.6199275837907899E-4</v>
      </c>
    </row>
    <row r="35" spans="6:8">
      <c r="F35">
        <v>0.32</v>
      </c>
      <c r="G35" s="8">
        <f t="shared" si="0"/>
        <v>2.2517564224114252E-2</v>
      </c>
      <c r="H35" s="8">
        <f t="shared" si="1"/>
        <v>-9.527767337039791E-4</v>
      </c>
    </row>
    <row r="36" spans="6:8">
      <c r="F36">
        <v>0.33</v>
      </c>
      <c r="G36" s="8">
        <f t="shared" si="0"/>
        <v>2.0023295259181603E-2</v>
      </c>
      <c r="H36" s="8">
        <f t="shared" si="1"/>
        <v>-9.1760964443580811E-4</v>
      </c>
    </row>
    <row r="37" spans="6:8">
      <c r="F37">
        <v>0.34</v>
      </c>
      <c r="G37" s="8">
        <f t="shared" si="0"/>
        <v>1.7637501684703051E-2</v>
      </c>
      <c r="H37" s="8">
        <f t="shared" si="1"/>
        <v>-8.6367762211762096E-4</v>
      </c>
    </row>
    <row r="38" spans="6:8">
      <c r="F38">
        <v>0.35</v>
      </c>
      <c r="G38" s="8">
        <f t="shared" si="0"/>
        <v>1.5366961473635124E-2</v>
      </c>
      <c r="H38" s="8">
        <f t="shared" si="1"/>
        <v>-7.9701854064045084E-4</v>
      </c>
    </row>
    <row r="39" spans="6:8">
      <c r="F39">
        <v>0.36</v>
      </c>
      <c r="G39" s="8">
        <f t="shared" si="0"/>
        <v>1.321687042351545E-2</v>
      </c>
      <c r="H39" s="8">
        <f t="shared" si="1"/>
        <v>-7.2261574253594443E-4</v>
      </c>
    </row>
    <row r="40" spans="6:8">
      <c r="F40">
        <v>0.37</v>
      </c>
      <c r="G40" s="8">
        <f t="shared" si="0"/>
        <v>1.1190967915804009E-2</v>
      </c>
      <c r="H40" s="8">
        <f t="shared" si="1"/>
        <v>-6.4450070091386633E-4</v>
      </c>
    </row>
    <row r="41" spans="6:8">
      <c r="F41">
        <v>0.38</v>
      </c>
      <c r="G41" s="8">
        <f t="shared" si="0"/>
        <v>9.2916605966641783E-3</v>
      </c>
      <c r="H41" s="8">
        <f t="shared" si="1"/>
        <v>-5.658594687519828E-4</v>
      </c>
    </row>
    <row r="42" spans="6:8">
      <c r="F42">
        <v>0.39</v>
      </c>
      <c r="G42" s="8">
        <f t="shared" si="0"/>
        <v>7.5201432577143056E-3</v>
      </c>
      <c r="H42" s="8">
        <f t="shared" si="1"/>
        <v>-4.8913887501765986E-4</v>
      </c>
    </row>
    <row r="43" spans="6:8">
      <c r="F43">
        <v>0.4</v>
      </c>
      <c r="G43" s="8">
        <f t="shared" si="0"/>
        <v>5.8765162918507641E-3</v>
      </c>
      <c r="H43" s="8">
        <f t="shared" si="1"/>
        <v>-4.1614939175756648E-4</v>
      </c>
    </row>
    <row r="44" spans="6:8">
      <c r="F44">
        <v>0.41</v>
      </c>
      <c r="G44" s="8">
        <f t="shared" si="0"/>
        <v>4.3598991904731333E-3</v>
      </c>
      <c r="H44" s="8">
        <f t="shared" si="1"/>
        <v>-3.4816242325240551E-4</v>
      </c>
    </row>
    <row r="45" spans="6:8">
      <c r="F45">
        <v>0.42</v>
      </c>
      <c r="G45" s="8">
        <f t="shared" si="0"/>
        <v>2.9685396341963045E-3</v>
      </c>
      <c r="H45" s="8">
        <f t="shared" si="1"/>
        <v>-2.8600046579812323E-4</v>
      </c>
    </row>
    <row r="46" spans="6:8">
      <c r="F46">
        <v>0.43</v>
      </c>
      <c r="G46" s="8">
        <f t="shared" si="0"/>
        <v>1.6999178093348901E-3</v>
      </c>
      <c r="H46" s="8">
        <f t="shared" si="1"/>
        <v>-2.3011916472536788E-4</v>
      </c>
    </row>
    <row r="47" spans="6:8">
      <c r="F47">
        <v>0.44</v>
      </c>
      <c r="G47" s="8">
        <f t="shared" si="0"/>
        <v>5.5084565706173521E-4</v>
      </c>
      <c r="H47" s="8">
        <f t="shared" si="1"/>
        <v>-1.8068076512467259E-4</v>
      </c>
    </row>
    <row r="48" spans="6:8">
      <c r="F48">
        <v>0.45</v>
      </c>
      <c r="G48" s="8">
        <f t="shared" si="0"/>
        <v>-4.8243916880626354E-4</v>
      </c>
      <c r="H48" s="8">
        <f t="shared" si="1"/>
        <v>-1.3761882616251749E-4</v>
      </c>
    </row>
    <row r="49" spans="6:8">
      <c r="F49">
        <v>0.46</v>
      </c>
      <c r="G49" s="8">
        <f t="shared" si="0"/>
        <v>-1.4041847959003451E-3</v>
      </c>
      <c r="H49" s="8">
        <f t="shared" si="1"/>
        <v>-1.0069435767222231E-4</v>
      </c>
    </row>
    <row r="50" spans="6:8">
      <c r="F50">
        <v>0.47</v>
      </c>
      <c r="G50" s="8">
        <f t="shared" si="0"/>
        <v>-2.219042181649874E-3</v>
      </c>
      <c r="H50" s="8">
        <f t="shared" si="1"/>
        <v>-6.9543753401558149E-5</v>
      </c>
    </row>
    <row r="51" spans="6:8">
      <c r="F51">
        <v>0.48</v>
      </c>
      <c r="G51" s="8">
        <f t="shared" si="0"/>
        <v>-2.931987765435658E-3</v>
      </c>
      <c r="H51" s="8">
        <f t="shared" si="1"/>
        <v>-4.3719048843978103E-5</v>
      </c>
    </row>
    <row r="52" spans="6:8">
      <c r="F52">
        <v>0.49</v>
      </c>
      <c r="G52" s="8">
        <f t="shared" si="0"/>
        <v>-3.548251726398494E-3</v>
      </c>
      <c r="H52" s="8">
        <f t="shared" si="1"/>
        <v>-2.2721133162241746E-5</v>
      </c>
    </row>
    <row r="53" spans="6:8">
      <c r="F53">
        <v>0.5</v>
      </c>
      <c r="G53" s="8">
        <f t="shared" si="0"/>
        <v>-4.0732518060262518E-3</v>
      </c>
      <c r="H53" s="8">
        <f t="shared" si="1"/>
        <v>-6.0266036421763865E-6</v>
      </c>
    </row>
    <row r="54" spans="6:8">
      <c r="F54">
        <v>0.51</v>
      </c>
      <c r="G54" s="8">
        <f t="shared" si="0"/>
        <v>-4.5125326166853379E-3</v>
      </c>
      <c r="H54" s="8">
        <f t="shared" si="1"/>
        <v>6.8910242454100939E-6</v>
      </c>
    </row>
    <row r="55" spans="6:8">
      <c r="F55">
        <v>0.52</v>
      </c>
      <c r="G55" s="8">
        <f t="shared" si="0"/>
        <v>-4.871710323866304E-3</v>
      </c>
      <c r="H55" s="8">
        <f t="shared" si="1"/>
        <v>1.6545040349863992E-5</v>
      </c>
    </row>
    <row r="56" spans="6:8">
      <c r="F56">
        <v>0.53</v>
      </c>
      <c r="G56" s="8">
        <f t="shared" si="0"/>
        <v>-5.1564225608552259E-3</v>
      </c>
      <c r="H56" s="8">
        <f t="shared" si="1"/>
        <v>2.3423508797255276E-5</v>
      </c>
    </row>
    <row r="57" spans="6:8">
      <c r="F57">
        <v>0.54</v>
      </c>
      <c r="G57" s="8">
        <f t="shared" si="0"/>
        <v>-5.3722834095902674E-3</v>
      </c>
      <c r="H57" s="8">
        <f t="shared" si="1"/>
        <v>2.7980831931446831E-5</v>
      </c>
    </row>
    <row r="58" spans="6:8">
      <c r="F58">
        <v>0.55000000000000004</v>
      </c>
      <c r="G58" s="8">
        <f t="shared" si="0"/>
        <v>-5.5248432603774156E-3</v>
      </c>
      <c r="H58" s="8">
        <f t="shared" si="1"/>
        <v>3.0632306710072956E-5</v>
      </c>
    </row>
    <row r="59" spans="6:8">
      <c r="F59">
        <v>0.56000000000000005</v>
      </c>
      <c r="G59" s="8">
        <f t="shared" si="0"/>
        <v>-5.6195533456762309E-3</v>
      </c>
      <c r="H59" s="8">
        <f t="shared" si="1"/>
        <v>3.1751125398976699E-5</v>
      </c>
    </row>
    <row r="60" spans="6:8">
      <c r="F60">
        <v>0.56999999999999995</v>
      </c>
      <c r="G60" s="8">
        <f t="shared" si="0"/>
        <v>-5.6617347290810202E-3</v>
      </c>
      <c r="H60" s="8">
        <f t="shared" si="1"/>
        <v>3.1667330087416947E-5</v>
      </c>
    </row>
    <row r="61" spans="6:8">
      <c r="F61">
        <v>0.57999999999999996</v>
      </c>
      <c r="G61" s="8">
        <f t="shared" si="0"/>
        <v>-5.6565515196683267E-3</v>
      </c>
      <c r="H61" s="8">
        <f t="shared" si="1"/>
        <v>3.0668289044460836E-5</v>
      </c>
    </row>
    <row r="62" spans="6:8">
      <c r="F62">
        <v>0.59</v>
      </c>
      <c r="G62" s="8">
        <f t="shared" si="0"/>
        <v>-5.6089880738149234E-3</v>
      </c>
      <c r="H62" s="8">
        <f t="shared" si="1"/>
        <v>2.9000320332959824E-5</v>
      </c>
    </row>
    <row r="63" spans="6:8">
      <c r="F63">
        <v>0.6</v>
      </c>
      <c r="G63" s="8">
        <f t="shared" si="0"/>
        <v>-5.5238299411711845E-3</v>
      </c>
      <c r="H63" s="8">
        <f t="shared" si="1"/>
        <v>2.687114295761819E-5</v>
      </c>
    </row>
    <row r="64" spans="6:8">
      <c r="F64">
        <v>0.61</v>
      </c>
      <c r="G64" s="8">
        <f t="shared" si="0"/>
        <v>-5.4056483084672152E-3</v>
      </c>
      <c r="H64" s="8">
        <f t="shared" si="1"/>
        <v>2.4452887128691642E-5</v>
      </c>
    </row>
    <row r="65" spans="6:8">
      <c r="F65">
        <v>0.62</v>
      </c>
      <c r="G65" s="8">
        <f t="shared" si="0"/>
        <v>-5.2587876940049317E-3</v>
      </c>
      <c r="H65" s="8">
        <f t="shared" si="1"/>
        <v>2.1885442300009682E-5</v>
      </c>
    </row>
    <row r="66" spans="6:8">
      <c r="F66">
        <v>0.63</v>
      </c>
      <c r="G66" s="8">
        <f t="shared" si="0"/>
        <v>-5.0873566468262604E-3</v>
      </c>
      <c r="H66" s="8">
        <f t="shared" si="1"/>
        <v>1.9279964100733515E-5</v>
      </c>
    </row>
    <row r="67" spans="6:8">
      <c r="F67">
        <v>0.64</v>
      </c>
      <c r="G67" s="8">
        <f t="shared" si="0"/>
        <v>-4.8952212074328269E-3</v>
      </c>
      <c r="H67" s="8">
        <f t="shared" si="1"/>
        <v>1.6722398964342971E-5</v>
      </c>
    </row>
    <row r="68" spans="6:8">
      <c r="F68">
        <v>0.65</v>
      </c>
      <c r="G68" s="8">
        <f t="shared" si="0"/>
        <v>-4.6860008913610302E-3</v>
      </c>
      <c r="H68" s="8">
        <f t="shared" si="1"/>
        <v>1.4276918184592153E-5</v>
      </c>
    </row>
    <row r="69" spans="6:8">
      <c r="F69">
        <v>0.66</v>
      </c>
      <c r="G69" s="8">
        <f t="shared" ref="G69:G103" si="2">IF($G$3="Overdamped",EXP(-$C$12*$C$14*F69)*((($C$16+($C$12*$C$14+$C$20)*$C$17)/2*$C$20)*EXP($C$20*F69)-(($C$16+($C$12*$C$14-$C$20)*$C$17)/2*$C$20)*EXP(-$C$20*F69)),IF($G$3="Underdamped",EXP(-$C$12*$C$14*F69)*($C$17*COS($C$20*F69)+(($C$16+$C$12*$C$14*$C$17)/$C$20)*SIN($C$20*F69)),($C$17+($C$16+$C$14*$C$17)*F69)*EXP(-$C$14*F69)))</f>
        <v>-4.4630669626939947E-3</v>
      </c>
      <c r="H69" s="8">
        <f t="shared" ref="H69:H103" si="3">IF($H$3="Overdamped",EXP(-$C$13*$C$15*F69)*((($C$16+($C$13*$C$15+$C$21)*$C$18)/2*$C$21)*EXP($C$21*F69)-(($C$16+($C$13*$C$15-$C$21)*$C$18)/2*$C$21)*EXP(-$C$21*F69)),IF($H$3="Underdamped",EXP(-$C$13*$C$15*F69)*($C$18*COS($C$21*F69)+(($C$16+$C$13*$C$15*$C$18)/$C$21)*SIN($C$21*F69)),($C$18+($C$16+$C$15*$C$18)*F69)*EXP(-$C$15*F69)))</f>
        <v>1.1989181451424544E-5</v>
      </c>
    </row>
    <row r="70" spans="6:8">
      <c r="F70">
        <v>0.67</v>
      </c>
      <c r="G70" s="8">
        <f t="shared" si="2"/>
        <v>-4.2295427715335213E-3</v>
      </c>
      <c r="H70" s="8">
        <f t="shared" si="3"/>
        <v>9.889373894170075E-6</v>
      </c>
    </row>
    <row r="71" spans="6:8">
      <c r="F71">
        <v>0.68</v>
      </c>
      <c r="G71" s="8">
        <f t="shared" si="2"/>
        <v>-3.9883059373867864E-3</v>
      </c>
      <c r="H71" s="8">
        <f t="shared" si="3"/>
        <v>7.9949806070705419E-6</v>
      </c>
    </row>
    <row r="72" spans="6:8">
      <c r="F72">
        <v>0.69</v>
      </c>
      <c r="G72" s="8">
        <f t="shared" si="2"/>
        <v>-3.7419921691806261E-3</v>
      </c>
      <c r="H72" s="8">
        <f t="shared" si="3"/>
        <v>6.3132789181477261E-6</v>
      </c>
    </row>
    <row r="73" spans="6:8">
      <c r="F73">
        <v>0.7</v>
      </c>
      <c r="G73" s="8">
        <f t="shared" si="2"/>
        <v>-3.4930005220478915E-3</v>
      </c>
      <c r="H73" s="8">
        <f t="shared" si="3"/>
        <v>4.8435416731906241E-6</v>
      </c>
    </row>
    <row r="74" spans="6:8">
      <c r="F74">
        <v>0.71</v>
      </c>
      <c r="G74" s="8">
        <f t="shared" si="2"/>
        <v>-3.2434999009939799E-3</v>
      </c>
      <c r="H74" s="8">
        <f t="shared" si="3"/>
        <v>3.5789549338849274E-6</v>
      </c>
    </row>
    <row r="75" spans="6:8">
      <c r="F75">
        <v>0.72</v>
      </c>
      <c r="G75" s="8">
        <f t="shared" si="2"/>
        <v>-2.9954366319156849E-3</v>
      </c>
      <c r="H75" s="8">
        <f t="shared" si="3"/>
        <v>2.5082611168857722E-6</v>
      </c>
    </row>
    <row r="76" spans="6:8">
      <c r="F76">
        <v>0.73</v>
      </c>
      <c r="G76" s="8">
        <f t="shared" si="2"/>
        <v>-2.7505429310889667E-3</v>
      </c>
      <c r="H76" s="8">
        <f t="shared" si="3"/>
        <v>1.6171440958191504E-6</v>
      </c>
    </row>
    <row r="77" spans="6:8">
      <c r="F77">
        <v>0.74</v>
      </c>
      <c r="G77" s="8">
        <f t="shared" si="2"/>
        <v>-2.5103461150567021E-3</v>
      </c>
      <c r="H77" s="8">
        <f t="shared" si="3"/>
        <v>8.8937649372255836E-7</v>
      </c>
    </row>
    <row r="78" spans="6:8">
      <c r="F78">
        <v>0.75</v>
      </c>
      <c r="G78" s="8">
        <f t="shared" si="2"/>
        <v>-2.2761784037323438E-3</v>
      </c>
      <c r="H78" s="8">
        <f t="shared" si="3"/>
        <v>3.0775162384632737E-7</v>
      </c>
    </row>
    <row r="79" spans="6:8">
      <c r="F79">
        <v>0.76</v>
      </c>
      <c r="G79" s="8">
        <f t="shared" si="2"/>
        <v>-2.0491871804006602E-3</v>
      </c>
      <c r="H79" s="8">
        <f t="shared" si="3"/>
        <v>-1.4517642438132606E-7</v>
      </c>
    </row>
    <row r="80" spans="6:8">
      <c r="F80">
        <v>0.77</v>
      </c>
      <c r="G80" s="8">
        <f t="shared" si="2"/>
        <v>-1.8303455830620467E-3</v>
      </c>
      <c r="H80" s="8">
        <f t="shared" si="3"/>
        <v>-4.8652095847834844E-7</v>
      </c>
    </row>
    <row r="81" spans="6:8">
      <c r="F81">
        <v>0.78</v>
      </c>
      <c r="G81" s="8">
        <f t="shared" si="2"/>
        <v>-1.6204633121608115E-3</v>
      </c>
      <c r="H81" s="8">
        <f t="shared" si="3"/>
        <v>-7.3263614062236148E-7</v>
      </c>
    </row>
    <row r="82" spans="6:8">
      <c r="F82">
        <v>0.79</v>
      </c>
      <c r="G82" s="8">
        <f t="shared" si="2"/>
        <v>-1.420197550098235E-3</v>
      </c>
      <c r="H82" s="8">
        <f t="shared" si="3"/>
        <v>-8.9881390793960488E-7</v>
      </c>
    </row>
    <row r="83" spans="6:8">
      <c r="F83">
        <v>0.8</v>
      </c>
      <c r="G83" s="8">
        <f t="shared" si="2"/>
        <v>-1.2300638980034158E-3</v>
      </c>
      <c r="H83" s="8">
        <f t="shared" si="3"/>
        <v>-9.9908405719820229E-7</v>
      </c>
    </row>
    <row r="84" spans="6:8">
      <c r="F84">
        <v>0.81</v>
      </c>
      <c r="G84" s="8">
        <f t="shared" si="2"/>
        <v>-1.0504472449729431E-3</v>
      </c>
      <c r="H84" s="8">
        <f t="shared" si="3"/>
        <v>-1.0460989579657914E-6</v>
      </c>
    </row>
    <row r="85" spans="6:8">
      <c r="F85">
        <v>0.82</v>
      </c>
      <c r="G85" s="8">
        <f t="shared" si="2"/>
        <v>-8.816124943551351E-4</v>
      </c>
      <c r="H85" s="8">
        <f t="shared" si="3"/>
        <v>-1.0510862504010274E-6</v>
      </c>
    </row>
    <row r="86" spans="6:8">
      <c r="F86">
        <v>0.83</v>
      </c>
      <c r="G86" s="8">
        <f t="shared" si="2"/>
        <v>-7.2371508061380078E-4</v>
      </c>
      <c r="H86" s="8">
        <f t="shared" si="3"/>
        <v>-1.0238548191967471E-6</v>
      </c>
    </row>
    <row r="87" spans="6:8">
      <c r="F87">
        <v>0.84</v>
      </c>
      <c r="G87" s="8">
        <f t="shared" si="2"/>
        <v>-5.768112188348465E-4</v>
      </c>
      <c r="H87" s="8">
        <f t="shared" si="3"/>
        <v>-9.7284124638888949E-7</v>
      </c>
    </row>
    <row r="88" spans="6:8">
      <c r="F88">
        <v>0.85</v>
      </c>
      <c r="G88" s="8">
        <f t="shared" si="2"/>
        <v>-4.4086783701635413E-4</v>
      </c>
      <c r="H88" s="8">
        <f t="shared" si="3"/>
        <v>-9.0518578207509034E-7</v>
      </c>
    </row>
    <row r="89" spans="6:8">
      <c r="F89">
        <v>0.86</v>
      </c>
      <c r="G89" s="8">
        <f t="shared" si="2"/>
        <v>-3.1577214889541019E-4</v>
      </c>
      <c r="H89" s="8">
        <f t="shared" si="3"/>
        <v>-8.268285970617767E-7</v>
      </c>
    </row>
    <row r="90" spans="6:8">
      <c r="F90">
        <v>0.87</v>
      </c>
      <c r="G90" s="8">
        <f t="shared" si="2"/>
        <v>-2.0134083220314924E-4</v>
      </c>
      <c r="H90" s="8">
        <f t="shared" si="3"/>
        <v>-7.4261867052158326E-7</v>
      </c>
    </row>
    <row r="91" spans="6:8">
      <c r="F91">
        <v>0.88</v>
      </c>
      <c r="G91" s="8">
        <f t="shared" si="2"/>
        <v>-9.7328783898931472E-5</v>
      </c>
      <c r="H91" s="8">
        <f t="shared" si="3"/>
        <v>-6.5642910416769504E-7</v>
      </c>
    </row>
    <row r="92" spans="6:8">
      <c r="F92">
        <v>0.89</v>
      </c>
      <c r="G92" s="8">
        <f t="shared" si="2"/>
        <v>-3.4374301146084298E-6</v>
      </c>
      <c r="H92" s="8">
        <f t="shared" si="3"/>
        <v>-5.712739354492157E-7</v>
      </c>
    </row>
    <row r="93" spans="6:8">
      <c r="F93">
        <v>0.9</v>
      </c>
      <c r="G93" s="8">
        <f t="shared" si="2"/>
        <v>8.0677425756418416E-5</v>
      </c>
      <c r="H93" s="8">
        <f t="shared" si="3"/>
        <v>-4.8942264530929155E-7</v>
      </c>
    </row>
    <row r="94" spans="6:8">
      <c r="F94">
        <v>0.91</v>
      </c>
      <c r="G94" s="8">
        <f t="shared" si="2"/>
        <v>1.5539822815661733E-4</v>
      </c>
      <c r="H94" s="8">
        <f t="shared" si="3"/>
        <v>-4.1250952538357533E-7</v>
      </c>
    </row>
    <row r="95" spans="6:8">
      <c r="F95">
        <v>0.92</v>
      </c>
      <c r="G95" s="8">
        <f t="shared" si="2"/>
        <v>2.2113877420599923E-4</v>
      </c>
      <c r="H95" s="8">
        <f t="shared" si="3"/>
        <v>-3.4163589293875238E-7</v>
      </c>
    </row>
    <row r="96" spans="6:8">
      <c r="F96">
        <v>0.93</v>
      </c>
      <c r="G96" s="8">
        <f t="shared" si="2"/>
        <v>2.7833780052091001E-4</v>
      </c>
      <c r="H96" s="8">
        <f t="shared" si="3"/>
        <v>-2.7746382961096107E-7</v>
      </c>
    </row>
    <row r="97" spans="6:8">
      <c r="F97">
        <v>0.94</v>
      </c>
      <c r="G97" s="8">
        <f t="shared" si="2"/>
        <v>3.2745305035246938E-4</v>
      </c>
      <c r="H97" s="8">
        <f t="shared" si="3"/>
        <v>-2.2030068393097436E-7</v>
      </c>
    </row>
    <row r="98" spans="6:8">
      <c r="F98">
        <v>0.95</v>
      </c>
      <c r="G98" s="8">
        <f t="shared" si="2"/>
        <v>3.6895581591565288E-4</v>
      </c>
      <c r="H98" s="8">
        <f t="shared" si="3"/>
        <v>-1.7017403040051249E-7</v>
      </c>
    </row>
    <row r="99" spans="6:8">
      <c r="F99">
        <v>0.96</v>
      </c>
      <c r="G99" s="8">
        <f t="shared" si="2"/>
        <v>4.0332594770974196E-4</v>
      </c>
      <c r="H99" s="8">
        <f t="shared" si="3"/>
        <v>-1.2689713247289117E-7</v>
      </c>
    </row>
    <row r="100" spans="6:8">
      <c r="F100">
        <v>0.97</v>
      </c>
      <c r="G100" s="8">
        <f t="shared" si="2"/>
        <v>4.3104731994346776E-4</v>
      </c>
      <c r="H100" s="8">
        <f t="shared" si="3"/>
        <v>-9.0125225981172543E-8</v>
      </c>
    </row>
    <row r="101" spans="6:8">
      <c r="F101">
        <v>0.98</v>
      </c>
      <c r="G101" s="8">
        <f t="shared" si="2"/>
        <v>4.5260373885385352E-4</v>
      </c>
      <c r="H101" s="8">
        <f t="shared" si="3"/>
        <v>-5.9403135630006787E-8</v>
      </c>
    </row>
    <row r="102" spans="6:8">
      <c r="F102">
        <v>0.99</v>
      </c>
      <c r="G102" s="8">
        <f t="shared" si="2"/>
        <v>4.6847527872643905E-4</v>
      </c>
      <c r="H102" s="8">
        <f t="shared" si="3"/>
        <v>-3.420487165459298E-8</v>
      </c>
    </row>
    <row r="103" spans="6:8">
      <c r="F103">
        <v>1</v>
      </c>
      <c r="G103" s="8">
        <f t="shared" si="2"/>
        <v>4.7913502876530324E-4</v>
      </c>
      <c r="H103" s="8">
        <f t="shared" si="3"/>
        <v>-1.3965937269842966E-8</v>
      </c>
    </row>
  </sheetData>
  <mergeCells count="1">
    <mergeCell ref="F1:H1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8F50D6B-69D0-42F9-93F4-978A2B866CA2}">
          <x14:formula1>
            <xm:f>'Weight Bias'!$A$3:$A$7</xm:f>
          </x14:formula1>
          <xm:sqref>C26</xm:sqref>
        </x14:dataValidation>
        <x14:dataValidation type="list" errorStyle="warning" allowBlank="1" showInputMessage="1" showErrorMessage="1" xr:uid="{FD0D41C2-BE61-4532-92DC-BA4AFA2DA7DE}">
          <x14:formula1>
            <xm:f>'Weight Bias'!$N$3:$N$4</xm:f>
          </x14:formula1>
          <xm:sqref>C25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1D873-4715-4B8F-BC13-3BCD0C3F5DC2}">
  <sheetPr codeName="Sheet6"/>
  <dimension ref="A1:Q103"/>
  <sheetViews>
    <sheetView workbookViewId="0">
      <selection activeCell="S19" sqref="S19"/>
    </sheetView>
  </sheetViews>
  <sheetFormatPr defaultColWidth="8.85546875" defaultRowHeight="15"/>
  <cols>
    <col min="1" max="1" width="23.7109375" customWidth="1"/>
    <col min="2" max="2" width="5.85546875" customWidth="1"/>
    <col min="3" max="3" width="11.85546875" customWidth="1"/>
    <col min="4" max="4" width="7.42578125" customWidth="1"/>
    <col min="7" max="7" width="12.42578125" bestFit="1" customWidth="1"/>
    <col min="8" max="8" width="13.85546875" bestFit="1" customWidth="1"/>
    <col min="14" max="14" width="23.42578125" customWidth="1"/>
  </cols>
  <sheetData>
    <row r="1" spans="1:17">
      <c r="F1" s="51" t="s">
        <v>0</v>
      </c>
      <c r="G1" s="52"/>
      <c r="H1" s="52"/>
      <c r="N1" s="45" t="s">
        <v>153</v>
      </c>
      <c r="O1" s="45" t="s">
        <v>154</v>
      </c>
      <c r="P1" s="45">
        <v>1.34</v>
      </c>
      <c r="Q1" s="45" t="s">
        <v>38</v>
      </c>
    </row>
    <row r="2" spans="1:17">
      <c r="A2" s="2" t="s">
        <v>1</v>
      </c>
      <c r="B2" s="3"/>
      <c r="C2" s="3"/>
      <c r="D2" s="3"/>
      <c r="G2" t="s">
        <v>2</v>
      </c>
      <c r="H2" t="s">
        <v>3</v>
      </c>
      <c r="N2" s="45" t="s">
        <v>155</v>
      </c>
      <c r="O2" s="45" t="s">
        <v>156</v>
      </c>
      <c r="P2" s="45">
        <v>0.30499999999999999</v>
      </c>
      <c r="Q2" s="45" t="s">
        <v>11</v>
      </c>
    </row>
    <row r="3" spans="1:17">
      <c r="A3" s="3" t="s">
        <v>4</v>
      </c>
      <c r="B3" s="3" t="s">
        <v>5</v>
      </c>
      <c r="C3" s="1">
        <v>14.06</v>
      </c>
      <c r="D3" s="3" t="s">
        <v>6</v>
      </c>
      <c r="F3" s="5" t="s">
        <v>7</v>
      </c>
      <c r="G3" s="6" t="str">
        <f>IF(C12&gt;1, "Overdamped",IF(C12&lt;1,"Underdamped","Critically Damped"))</f>
        <v>Overdamped</v>
      </c>
      <c r="H3" s="6" t="str">
        <f>IF(C13&gt;1, "Overdamped",IF(C13&lt;1,"Underdamped","Critically Damped"))</f>
        <v>Overdamped</v>
      </c>
      <c r="N3" s="45" t="s">
        <v>157</v>
      </c>
      <c r="O3" s="45" t="s">
        <v>158</v>
      </c>
      <c r="P3" s="48">
        <v>1.1000000000000001</v>
      </c>
      <c r="Q3" s="45" t="s">
        <v>33</v>
      </c>
    </row>
    <row r="4" spans="1:17">
      <c r="A4" s="3" t="s">
        <v>8</v>
      </c>
      <c r="B4" s="3" t="s">
        <v>9</v>
      </c>
      <c r="C4" s="3">
        <f>'Shock Setup'!B2</f>
        <v>95</v>
      </c>
      <c r="D4" s="3" t="s">
        <v>6</v>
      </c>
      <c r="F4">
        <v>0.01</v>
      </c>
      <c r="G4" s="8">
        <f>IF($G$3="Overdamped",EXP(-$C$12*$C$14*F4)*((($C$16+($C$12*$C$14+$C$20)*$C$17)/2*$C$20)*EXP($C$20*F4)-(($C$16+($C$12*$C$14-$C$20)*$C$17)/2*$C$20)*EXP(-$C$20*F4)),IF($G$3="Underdamped",EXP(-$C$12*$C$14*F4)*($C$17*COS($C$20*F4)+(($C$16+$C$12*$C$14*$C$17)/$C$20)*SIN($C$20*F4)),($C$17+($C$16+$C$14*$C$17)*F4)*EXP(-$C$14*F4)))</f>
        <v>2.8123642767661123E-2</v>
      </c>
      <c r="H4" s="8">
        <f>IF($H$3="Overdamped",EXP(-$C$13*$C$15*F4)*((($C$16+($C$13*$C$15+$C$21)*$C$18)/2*$C$21)*EXP($C$21*F4)-(($C$16+($C$13*$C$15-$C$21)*$C$18)/2*$C$21)*EXP(-$C$21*F4)),IF($H$3="Underdamped",EXP(-$C$13*$C$15*F4)*($C$18*COS($C$21*F4)+(($C$16+$C$13*$C$15*$C$18)/$C$21)*SIN($C$21*F4)),($C$18+($C$16+$C$15*$C$18)*F4)*EXP(-$C$15*F4)))</f>
        <v>1.3699612319799459E-2</v>
      </c>
    </row>
    <row r="5" spans="1:17">
      <c r="A5" s="3" t="s">
        <v>10</v>
      </c>
      <c r="B5" s="3" t="s">
        <v>11</v>
      </c>
      <c r="C5" s="37">
        <f>C3+C4</f>
        <v>109.06</v>
      </c>
      <c r="D5" s="3" t="s">
        <v>6</v>
      </c>
      <c r="F5">
        <v>0.02</v>
      </c>
      <c r="G5" s="8">
        <f t="shared" ref="G5:G68" si="0">IF($G$3="Overdamped",EXP(-$C$12*$C$14*F5)*((($C$16+($C$12*$C$14+$C$20)*$C$17)/2*$C$20)*EXP($C$20*F5)-(($C$16+($C$12*$C$14-$C$20)*$C$17)/2*$C$20)*EXP(-$C$20*F5)),IF($G$3="Underdamped",EXP(-$C$12*$C$14*F5)*($C$17*COS($C$20*F5)+(($C$16+$C$12*$C$14*$C$17)/$C$20)*SIN($C$20*F5)),($C$17+($C$16+$C$14*$C$17)*F5)*EXP(-$C$14*F5)))</f>
        <v>4.9659186684629604E-2</v>
      </c>
      <c r="H5" s="8">
        <f t="shared" ref="H5:H68" si="1">IF($H$3="Overdamped",EXP(-$C$13*$C$15*F5)*((($C$16+($C$13*$C$15+$C$21)*$C$18)/2*$C$21)*EXP($C$21*F5)-(($C$16+($C$13*$C$15-$C$21)*$C$18)/2*$C$21)*EXP(-$C$21*F5)),IF($H$3="Underdamped",EXP(-$C$13*$C$15*F5)*($C$18*COS($C$21*F5)+(($C$16+$C$13*$C$15*$C$18)/$C$21)*SIN($C$21*F5)),($C$18+($C$16+$C$15*$C$18)*F5)*EXP(-$C$15*F5)))</f>
        <v>2.346070420629429E-2</v>
      </c>
    </row>
    <row r="6" spans="1:17">
      <c r="A6" s="3" t="s">
        <v>12</v>
      </c>
      <c r="B6" s="35" t="s">
        <v>13</v>
      </c>
      <c r="C6" s="34">
        <f>IF(C25="Ascending",('Shock Setup'!B2+C3)*VLOOKUP(C26,'Weight Bias'!A11:K15,8,FALSE),( 'Shock Setup'!B2+C3)*VLOOKUP(C26,'Weight Bias'!A3:K7,8,FALSE))</f>
        <v>26.067999995211999</v>
      </c>
      <c r="D6" s="36" t="s">
        <v>6</v>
      </c>
      <c r="F6">
        <v>0.03</v>
      </c>
      <c r="G6" s="8">
        <f t="shared" si="0"/>
        <v>6.5768466256269573E-2</v>
      </c>
      <c r="H6" s="8">
        <f t="shared" si="1"/>
        <v>3.0133498011002412E-2</v>
      </c>
    </row>
    <row r="7" spans="1:17">
      <c r="A7" s="3" t="s">
        <v>14</v>
      </c>
      <c r="B7" s="35" t="s">
        <v>15</v>
      </c>
      <c r="C7" s="34">
        <f>IF(C25="Ascending",('Shock Setup'!B2+C3)*VLOOKUP(C26,'Weight Bias'!A11:K15,9,FALSE),( 'Shock Setup'!B2+C3)*VLOOKUP(C26,'Weight Bias'!A3:K7,9,FALSE))</f>
        <v>82.992000004787997</v>
      </c>
      <c r="D7" s="36" t="s">
        <v>6</v>
      </c>
      <c r="F7">
        <v>0.04</v>
      </c>
      <c r="G7" s="8">
        <f t="shared" si="0"/>
        <v>7.7430509358647426E-2</v>
      </c>
      <c r="H7" s="8">
        <f t="shared" si="1"/>
        <v>3.4404876698993433E-2</v>
      </c>
    </row>
    <row r="8" spans="1:17">
      <c r="A8" s="3" t="s">
        <v>16</v>
      </c>
      <c r="B8" s="3" t="s">
        <v>17</v>
      </c>
      <c r="C8" s="38">
        <v>4000</v>
      </c>
      <c r="D8" s="3" t="s">
        <v>18</v>
      </c>
      <c r="F8">
        <v>0.05</v>
      </c>
      <c r="G8" s="8">
        <f t="shared" si="0"/>
        <v>8.5468601849540263E-2</v>
      </c>
      <c r="H8" s="8">
        <f t="shared" si="1"/>
        <v>3.6827836851877828E-2</v>
      </c>
    </row>
    <row r="9" spans="1:17">
      <c r="A9" s="3" t="s">
        <v>19</v>
      </c>
      <c r="B9" s="3" t="s">
        <v>20</v>
      </c>
      <c r="C9" s="1">
        <v>20000</v>
      </c>
      <c r="D9" s="3" t="s">
        <v>18</v>
      </c>
      <c r="F9">
        <v>0.06</v>
      </c>
      <c r="G9" s="8">
        <f t="shared" si="0"/>
        <v>9.0573491690011956E-2</v>
      </c>
      <c r="H9" s="8">
        <f t="shared" si="1"/>
        <v>3.7845837264445716E-2</v>
      </c>
    </row>
    <row r="10" spans="1:17">
      <c r="A10" s="3" t="s">
        <v>21</v>
      </c>
      <c r="B10" s="4" t="s">
        <v>22</v>
      </c>
      <c r="C10" s="1">
        <v>650</v>
      </c>
      <c r="D10" s="3" t="s">
        <v>23</v>
      </c>
      <c r="F10">
        <v>7.0000000000000007E-2</v>
      </c>
      <c r="G10" s="8">
        <f t="shared" si="0"/>
        <v>9.332326981975822E-2</v>
      </c>
      <c r="H10" s="8">
        <f t="shared" si="1"/>
        <v>3.7812904184846806E-2</v>
      </c>
    </row>
    <row r="11" spans="1:17">
      <c r="A11" s="3" t="s">
        <v>24</v>
      </c>
      <c r="B11" s="4" t="s">
        <v>25</v>
      </c>
      <c r="C11" s="1">
        <v>2576.6999999999998</v>
      </c>
      <c r="D11" s="3" t="s">
        <v>23</v>
      </c>
      <c r="F11">
        <v>0.08</v>
      </c>
      <c r="G11" s="8">
        <f t="shared" si="0"/>
        <v>9.4200391539950676E-2</v>
      </c>
      <c r="H11" s="8">
        <f t="shared" si="1"/>
        <v>3.7010211801013541E-2</v>
      </c>
    </row>
    <row r="12" spans="1:17">
      <c r="A12" s="3" t="s">
        <v>26</v>
      </c>
      <c r="B12" s="4" t="s">
        <v>27</v>
      </c>
      <c r="C12" s="7">
        <f>C10/(2*SQRT(C6*C8))</f>
        <v>1.0064669290043557</v>
      </c>
      <c r="D12" s="3" t="s">
        <v>28</v>
      </c>
      <c r="F12">
        <v>0.09</v>
      </c>
      <c r="G12" s="8">
        <f t="shared" si="0"/>
        <v>9.3606238596139979E-2</v>
      </c>
      <c r="H12" s="8">
        <f t="shared" si="1"/>
        <v>3.5659737352580705E-2</v>
      </c>
    </row>
    <row r="13" spans="1:17">
      <c r="A13" s="3" t="s">
        <v>29</v>
      </c>
      <c r="B13" s="4" t="s">
        <v>30</v>
      </c>
      <c r="C13" s="7">
        <f>C11/(2*SQRT(C7*C9))</f>
        <v>1.0000017237803966</v>
      </c>
      <c r="D13" s="3" t="s">
        <v>28</v>
      </c>
      <c r="F13">
        <v>0.1</v>
      </c>
      <c r="G13" s="8">
        <f t="shared" si="0"/>
        <v>9.1873567191908742E-2</v>
      </c>
      <c r="H13" s="8">
        <f t="shared" si="1"/>
        <v>3.3935490504145287E-2</v>
      </c>
    </row>
    <row r="14" spans="1:17">
      <c r="A14" s="3" t="s">
        <v>31</v>
      </c>
      <c r="B14" s="4" t="s">
        <v>32</v>
      </c>
      <c r="C14" s="39">
        <f>SQRT(C8/C6)</f>
        <v>12.387285280053607</v>
      </c>
      <c r="D14" s="3" t="s">
        <v>33</v>
      </c>
      <c r="F14">
        <v>0.11</v>
      </c>
      <c r="G14" s="8">
        <f t="shared" si="0"/>
        <v>8.9277139649108356E-2</v>
      </c>
      <c r="H14" s="8">
        <f t="shared" si="1"/>
        <v>3.1972733206740336E-2</v>
      </c>
    </row>
    <row r="15" spans="1:17">
      <c r="A15" s="3" t="s">
        <v>34</v>
      </c>
      <c r="B15" s="4" t="s">
        <v>35</v>
      </c>
      <c r="C15" s="39">
        <f>SQRT(C9/C7)</f>
        <v>15.523758664654741</v>
      </c>
      <c r="D15" s="3" t="s">
        <v>33</v>
      </c>
      <c r="F15">
        <v>0.12</v>
      </c>
      <c r="G15" s="8">
        <f t="shared" si="0"/>
        <v>8.6042796363653432E-2</v>
      </c>
      <c r="H15" s="8">
        <f t="shared" si="1"/>
        <v>2.9875536557534468E-2</v>
      </c>
    </row>
    <row r="16" spans="1:17">
      <c r="A16" s="3" t="s">
        <v>36</v>
      </c>
      <c r="B16" s="3" t="s">
        <v>37</v>
      </c>
      <c r="C16" s="1">
        <v>1.6</v>
      </c>
      <c r="D16" s="3" t="s">
        <v>38</v>
      </c>
      <c r="F16">
        <v>0.13</v>
      </c>
      <c r="G16" s="8">
        <f t="shared" si="0"/>
        <v>8.2355189220980757E-2</v>
      </c>
      <c r="H16" s="8">
        <f t="shared" si="1"/>
        <v>2.7722962923989951E-2</v>
      </c>
    </row>
    <row r="17" spans="1:8">
      <c r="A17" s="3" t="s">
        <v>39</v>
      </c>
      <c r="B17" s="3" t="s">
        <v>40</v>
      </c>
      <c r="C17" s="1">
        <v>0</v>
      </c>
      <c r="D17" s="3" t="s">
        <v>11</v>
      </c>
      <c r="E17" s="44">
        <v>0.03</v>
      </c>
      <c r="F17">
        <v>0.14000000000000001</v>
      </c>
      <c r="G17" s="8">
        <f t="shared" si="0"/>
        <v>7.8364366981813594E-2</v>
      </c>
      <c r="H17" s="8">
        <f t="shared" si="1"/>
        <v>2.5574112965050858E-2</v>
      </c>
    </row>
    <row r="18" spans="1:8">
      <c r="A18" s="3" t="s">
        <v>41</v>
      </c>
      <c r="B18" s="3" t="s">
        <v>42</v>
      </c>
      <c r="C18" s="1">
        <v>0</v>
      </c>
      <c r="D18" s="3" t="s">
        <v>11</v>
      </c>
      <c r="E18" s="44">
        <v>1.4999999999999999E-2</v>
      </c>
      <c r="F18">
        <v>0.15</v>
      </c>
      <c r="G18" s="8">
        <f t="shared" si="0"/>
        <v>7.4191376676338155E-2</v>
      </c>
      <c r="H18" s="8">
        <f t="shared" si="1"/>
        <v>2.347223659476531E-2</v>
      </c>
    </row>
    <row r="19" spans="1:8">
      <c r="A19" s="9" t="s">
        <v>43</v>
      </c>
      <c r="B19" s="9" t="s">
        <v>44</v>
      </c>
      <c r="C19" s="10">
        <f>C16/C24</f>
        <v>0.64</v>
      </c>
      <c r="D19" s="9" t="s">
        <v>38</v>
      </c>
      <c r="F19">
        <v>0.16</v>
      </c>
      <c r="G19" s="8">
        <f t="shared" si="0"/>
        <v>6.9933022189659882E-2</v>
      </c>
      <c r="H19" s="8">
        <f t="shared" si="1"/>
        <v>2.1448073081124619E-2</v>
      </c>
    </row>
    <row r="20" spans="1:8">
      <c r="A20" s="3" t="s">
        <v>45</v>
      </c>
      <c r="B20" s="3" t="s">
        <v>46</v>
      </c>
      <c r="C20" s="7">
        <f>IF(C12&gt;1.0001,C14*SQRT(C12^2-1),IF(C12&lt;0.9999,C14*SQRT(1-C12^2),1))</f>
        <v>1.41104605579991</v>
      </c>
      <c r="D20" s="3" t="s">
        <v>33</v>
      </c>
      <c r="F20">
        <v>0.17</v>
      </c>
      <c r="G20" s="8">
        <f t="shared" si="0"/>
        <v>6.5665901495163784E-2</v>
      </c>
      <c r="H20" s="8">
        <f t="shared" si="1"/>
        <v>1.952255725436753E-2</v>
      </c>
    </row>
    <row r="21" spans="1:8">
      <c r="A21" s="3" t="s">
        <v>47</v>
      </c>
      <c r="B21" s="3" t="s">
        <v>48</v>
      </c>
      <c r="C21" s="7">
        <f>IF(C13&gt;1.0001,C15*SQRT(C13^2-1),IF(C13&lt;0.9999,C15*SQRT(1-C13^2),1))</f>
        <v>1</v>
      </c>
      <c r="D21" s="3" t="s">
        <v>33</v>
      </c>
      <c r="F21">
        <v>0.18</v>
      </c>
      <c r="G21" s="8">
        <f t="shared" si="0"/>
        <v>6.1449826972170218E-2</v>
      </c>
      <c r="H21" s="8">
        <f t="shared" si="1"/>
        <v>1.7709005291812217E-2</v>
      </c>
    </row>
    <row r="22" spans="1:8">
      <c r="A22" s="3" t="s">
        <v>49</v>
      </c>
      <c r="B22" s="3" t="s">
        <v>50</v>
      </c>
      <c r="C22" s="1">
        <v>0.15</v>
      </c>
      <c r="D22" s="3" t="s">
        <v>11</v>
      </c>
      <c r="F22">
        <v>0.19</v>
      </c>
      <c r="G22" s="8">
        <f t="shared" si="0"/>
        <v>5.7330718563720233E-2</v>
      </c>
      <c r="H22" s="8">
        <f t="shared" si="1"/>
        <v>1.6014873976971662E-2</v>
      </c>
    </row>
    <row r="23" spans="1:8">
      <c r="A23" s="3" t="s">
        <v>51</v>
      </c>
      <c r="B23" s="3" t="s">
        <v>52</v>
      </c>
      <c r="C23" s="1">
        <v>0.05</v>
      </c>
      <c r="D23" s="3" t="s">
        <v>11</v>
      </c>
      <c r="F23">
        <v>0.2</v>
      </c>
      <c r="G23" s="8">
        <f t="shared" si="0"/>
        <v>5.3343046872221467E-2</v>
      </c>
      <c r="H23" s="8">
        <f t="shared" si="1"/>
        <v>1.4443171051178406E-2</v>
      </c>
    </row>
    <row r="24" spans="1:8">
      <c r="A24" s="3" t="s">
        <v>53</v>
      </c>
      <c r="B24" s="3" t="s">
        <v>54</v>
      </c>
      <c r="C24" s="1">
        <v>2.5</v>
      </c>
      <c r="D24" s="3" t="s">
        <v>55</v>
      </c>
      <c r="F24">
        <v>0.21</v>
      </c>
      <c r="G24" s="8">
        <f t="shared" si="0"/>
        <v>4.9511892380383511E-2</v>
      </c>
      <c r="H24" s="8">
        <f t="shared" si="1"/>
        <v>1.2993580743329005E-2</v>
      </c>
    </row>
    <row r="25" spans="1:8">
      <c r="A25" s="3" t="s">
        <v>56</v>
      </c>
      <c r="B25" s="3" t="s">
        <v>57</v>
      </c>
      <c r="C25" s="1" t="s">
        <v>82</v>
      </c>
      <c r="D25" s="3" t="s">
        <v>55</v>
      </c>
      <c r="F25">
        <v>0.22</v>
      </c>
      <c r="G25" s="8">
        <f t="shared" si="0"/>
        <v>4.5854677584636773E-2</v>
      </c>
      <c r="H25" s="8">
        <f t="shared" si="1"/>
        <v>1.1663357323133261E-2</v>
      </c>
    </row>
    <row r="26" spans="1:8">
      <c r="A26" s="3" t="s">
        <v>59</v>
      </c>
      <c r="B26" s="3" t="s">
        <v>60</v>
      </c>
      <c r="C26" s="16" t="s">
        <v>108</v>
      </c>
      <c r="D26" s="3"/>
      <c r="F26">
        <v>0.23</v>
      </c>
      <c r="G26" s="8">
        <f t="shared" si="0"/>
        <v>4.2382620732298169E-2</v>
      </c>
      <c r="H26" s="8">
        <f t="shared" si="1"/>
        <v>1.0448030195003561E-2</v>
      </c>
    </row>
    <row r="27" spans="1:8">
      <c r="A27" s="3" t="s">
        <v>62</v>
      </c>
      <c r="B27" s="3" t="s">
        <v>63</v>
      </c>
      <c r="C27" s="15">
        <f>IF(C25="Ascending",VLOOKUP(C26,'Weight Bias'!A11:K15,6,FALSE), VLOOKUP(C26,'Weight Bias'!A3:K7,6,FALSE))</f>
        <v>23.902439019999999</v>
      </c>
      <c r="D27" s="3" t="s">
        <v>64</v>
      </c>
      <c r="F27">
        <v>0.24</v>
      </c>
      <c r="G27" s="8">
        <f t="shared" si="0"/>
        <v>3.9101952884087396E-2</v>
      </c>
      <c r="H27" s="8">
        <f t="shared" si="1"/>
        <v>9.3419563152011727E-3</v>
      </c>
    </row>
    <row r="28" spans="1:8">
      <c r="A28" s="3" t="s">
        <v>65</v>
      </c>
      <c r="B28" s="3" t="s">
        <v>66</v>
      </c>
      <c r="C28" s="15">
        <f>IF(C25="Ascending",VLOOKUP(C26,'Weight Bias'!A11:K15,7,FALSE), VLOOKUP(C26,'Weight Bias'!A3:K7,7,FALSE))</f>
        <v>76.097560979999997</v>
      </c>
      <c r="D28" s="3" t="s">
        <v>64</v>
      </c>
      <c r="F28">
        <v>0.25</v>
      </c>
      <c r="G28" s="8">
        <f t="shared" si="0"/>
        <v>3.6014934026180175E-2</v>
      </c>
      <c r="H28" s="8">
        <f t="shared" si="1"/>
        <v>8.3387493079483885E-3</v>
      </c>
    </row>
    <row r="29" spans="1:8">
      <c r="F29">
        <v>0.26</v>
      </c>
      <c r="G29" s="8">
        <f t="shared" si="0"/>
        <v>3.3120698797597145E-2</v>
      </c>
      <c r="H29" s="8">
        <f t="shared" si="1"/>
        <v>7.4316093544921505E-3</v>
      </c>
    </row>
    <row r="30" spans="1:8">
      <c r="F30">
        <v>0.27</v>
      </c>
      <c r="G30" s="8">
        <f t="shared" si="0"/>
        <v>3.0415957964162701E-2</v>
      </c>
      <c r="H30" s="8">
        <f t="shared" si="1"/>
        <v>6.6135735467489753E-3</v>
      </c>
    </row>
    <row r="31" spans="1:8">
      <c r="F31">
        <v>0.28000000000000003</v>
      </c>
      <c r="G31" s="8">
        <f t="shared" si="0"/>
        <v>2.7895577959940337E-2</v>
      </c>
      <c r="H31" s="8">
        <f t="shared" si="1"/>
        <v>5.877702779024099E-3</v>
      </c>
    </row>
    <row r="32" spans="1:8">
      <c r="F32">
        <v>0.28999999999999998</v>
      </c>
      <c r="G32" s="8">
        <f t="shared" si="0"/>
        <v>2.5553057544874767E-2</v>
      </c>
      <c r="H32" s="8">
        <f t="shared" si="1"/>
        <v>5.2172182679021276E-3</v>
      </c>
    </row>
    <row r="33" spans="6:8">
      <c r="F33">
        <v>0.3</v>
      </c>
      <c r="G33" s="8">
        <f t="shared" si="0"/>
        <v>2.3380917818964661E-2</v>
      </c>
      <c r="H33" s="8">
        <f t="shared" si="1"/>
        <v>4.6255983337665767E-3</v>
      </c>
    </row>
    <row r="34" spans="6:8">
      <c r="F34">
        <v>0.31</v>
      </c>
      <c r="G34" s="8">
        <f t="shared" si="0"/>
        <v>2.1371019424396415E-2</v>
      </c>
      <c r="H34" s="8">
        <f t="shared" si="1"/>
        <v>4.0966440575096194E-3</v>
      </c>
    </row>
    <row r="35" spans="6:8">
      <c r="F35">
        <v>0.32</v>
      </c>
      <c r="G35" s="8">
        <f t="shared" si="0"/>
        <v>1.9514818702192044E-2</v>
      </c>
      <c r="H35" s="8">
        <f t="shared" si="1"/>
        <v>3.6245207678623137E-3</v>
      </c>
    </row>
    <row r="36" spans="6:8">
      <c r="F36">
        <v>0.33</v>
      </c>
      <c r="G36" s="8">
        <f t="shared" si="0"/>
        <v>1.780357280114999E-2</v>
      </c>
      <c r="H36" s="8">
        <f t="shared" si="1"/>
        <v>3.2037809559940624E-3</v>
      </c>
    </row>
    <row r="37" spans="6:8">
      <c r="F37">
        <v>0.34</v>
      </c>
      <c r="G37" s="8">
        <f t="shared" si="0"/>
        <v>1.6228502222829774E-2</v>
      </c>
      <c r="H37" s="8">
        <f t="shared" si="1"/>
        <v>2.8293731026774026E-3</v>
      </c>
    </row>
    <row r="38" spans="6:8">
      <c r="F38">
        <v>0.35</v>
      </c>
      <c r="G38" s="8">
        <f t="shared" si="0"/>
        <v>1.4780917991365461E-2</v>
      </c>
      <c r="H38" s="8">
        <f t="shared" si="1"/>
        <v>2.4966399962337658E-3</v>
      </c>
    </row>
    <row r="39" spans="6:8">
      <c r="F39">
        <v>0.36</v>
      </c>
      <c r="G39" s="8">
        <f t="shared" si="0"/>
        <v>1.345231953020775E-2</v>
      </c>
      <c r="H39" s="8">
        <f t="shared" si="1"/>
        <v>2.2013093808230483E-3</v>
      </c>
    </row>
    <row r="40" spans="6:8">
      <c r="F40">
        <v>0.37</v>
      </c>
      <c r="G40" s="8">
        <f t="shared" si="0"/>
        <v>1.2234468382950834E-2</v>
      </c>
      <c r="H40" s="8">
        <f t="shared" si="1"/>
        <v>1.9394791746697338E-3</v>
      </c>
    </row>
    <row r="41" spans="6:8">
      <c r="F41">
        <v>0.38</v>
      </c>
      <c r="G41" s="8">
        <f t="shared" si="0"/>
        <v>1.1119442109316629E-2</v>
      </c>
      <c r="H41" s="8">
        <f t="shared" si="1"/>
        <v>1.7075990118690916E-3</v>
      </c>
    </row>
    <row r="42" spans="6:8">
      <c r="F42">
        <v>0.39</v>
      </c>
      <c r="G42" s="8">
        <f t="shared" si="0"/>
        <v>1.0099672000437798E-2</v>
      </c>
      <c r="H42" s="8">
        <f t="shared" si="1"/>
        <v>1.50244946906202E-3</v>
      </c>
    </row>
    <row r="43" spans="6:8">
      <c r="F43">
        <v>0.4</v>
      </c>
      <c r="G43" s="8">
        <f t="shared" si="0"/>
        <v>9.1679676728200644E-3</v>
      </c>
      <c r="H43" s="8">
        <f t="shared" si="1"/>
        <v>1.3211200226040025E-3</v>
      </c>
    </row>
    <row r="44" spans="6:8">
      <c r="F44">
        <v>0.41</v>
      </c>
      <c r="G44" s="8">
        <f t="shared" si="0"/>
        <v>8.3175311031594232E-3</v>
      </c>
      <c r="H44" s="8">
        <f t="shared" si="1"/>
        <v>1.1609865289127837E-3</v>
      </c>
    </row>
    <row r="45" spans="6:8">
      <c r="F45">
        <v>0.42</v>
      </c>
      <c r="G45" s="8">
        <f t="shared" si="0"/>
        <v>7.5419622439606513E-3</v>
      </c>
      <c r="H45" s="8">
        <f t="shared" si="1"/>
        <v>1.0196888189278805E-3</v>
      </c>
    </row>
    <row r="46" spans="6:8">
      <c r="F46">
        <v>0.43</v>
      </c>
      <c r="G46" s="8">
        <f t="shared" si="0"/>
        <v>6.8352580018318908E-3</v>
      </c>
      <c r="H46" s="8">
        <f t="shared" si="1"/>
        <v>8.9510883754440192E-4</v>
      </c>
    </row>
    <row r="47" spans="6:8">
      <c r="F47">
        <v>0.44</v>
      </c>
      <c r="G47" s="8">
        <f t="shared" si="0"/>
        <v>6.1918060571117461E-3</v>
      </c>
      <c r="H47" s="8">
        <f t="shared" si="1"/>
        <v>7.8534963266486046E-4</v>
      </c>
    </row>
    <row r="48" spans="6:8">
      <c r="F48">
        <v>0.45</v>
      </c>
      <c r="G48" s="8">
        <f t="shared" si="0"/>
        <v>5.6063747471299446E-3</v>
      </c>
      <c r="H48" s="8">
        <f t="shared" si="1"/>
        <v>6.887153997095169E-4</v>
      </c>
    </row>
    <row r="49" spans="6:8">
      <c r="F49">
        <v>0.46</v>
      </c>
      <c r="G49" s="8">
        <f t="shared" si="0"/>
        <v>5.0741000190426709E-3</v>
      </c>
      <c r="H49" s="8">
        <f t="shared" si="1"/>
        <v>6.0369271075515858E-4</v>
      </c>
    </row>
    <row r="50" spans="6:8">
      <c r="F50">
        <v>0.47</v>
      </c>
      <c r="G50" s="8">
        <f t="shared" si="0"/>
        <v>4.5904702759288832E-3</v>
      </c>
      <c r="H50" s="8">
        <f t="shared" si="1"/>
        <v>5.2893299860563728E-4</v>
      </c>
    </row>
    <row r="51" spans="6:8">
      <c r="F51">
        <v>0.48</v>
      </c>
      <c r="G51" s="8">
        <f t="shared" si="0"/>
        <v>4.1513097866285147E-3</v>
      </c>
      <c r="H51" s="8">
        <f t="shared" si="1"/>
        <v>4.6323632149494542E-4</v>
      </c>
    </row>
    <row r="52" spans="6:8">
      <c r="F52">
        <v>0.49</v>
      </c>
      <c r="G52" s="8">
        <f t="shared" si="0"/>
        <v>3.7527612013154173E-3</v>
      </c>
      <c r="H52" s="8">
        <f t="shared" si="1"/>
        <v>4.0553640089644827E-4</v>
      </c>
    </row>
    <row r="53" spans="6:8">
      <c r="F53">
        <v>0.5</v>
      </c>
      <c r="G53" s="8">
        <f t="shared" si="0"/>
        <v>3.3912676073141199E-3</v>
      </c>
      <c r="H53" s="8">
        <f t="shared" si="1"/>
        <v>3.5488690070804445E-4</v>
      </c>
    </row>
    <row r="54" spans="6:8">
      <c r="F54">
        <v>0.51</v>
      </c>
      <c r="G54" s="8">
        <f t="shared" si="0"/>
        <v>3.0635544700132657E-3</v>
      </c>
      <c r="H54" s="8">
        <f t="shared" si="1"/>
        <v>3.1044889899257066E-4</v>
      </c>
    </row>
    <row r="55" spans="6:8">
      <c r="F55">
        <v>0.52</v>
      </c>
      <c r="G55" s="8">
        <f t="shared" si="0"/>
        <v>2.7666117291811503E-3</v>
      </c>
      <c r="H55" s="8">
        <f t="shared" si="1"/>
        <v>2.714794919289683E-4</v>
      </c>
    </row>
    <row r="56" spans="6:8">
      <c r="F56">
        <v>0.53</v>
      </c>
      <c r="G56" s="8">
        <f t="shared" si="0"/>
        <v>2.4976762592268673E-3</v>
      </c>
      <c r="H56" s="8">
        <f t="shared" si="1"/>
        <v>2.3732146242411568E-4</v>
      </c>
    </row>
    <row r="57" spans="6:8">
      <c r="F57">
        <v>0.54</v>
      </c>
      <c r="G57" s="8">
        <f t="shared" si="0"/>
        <v>2.254214850990427E-3</v>
      </c>
      <c r="H57" s="8">
        <f t="shared" si="1"/>
        <v>2.0739394194363453E-4</v>
      </c>
    </row>
    <row r="58" spans="6:8">
      <c r="F58">
        <v>0.55000000000000004</v>
      </c>
      <c r="G58" s="8">
        <f t="shared" si="0"/>
        <v>2.033907830794207E-3</v>
      </c>
      <c r="H58" s="8">
        <f t="shared" si="1"/>
        <v>1.8118399273801028E-4</v>
      </c>
    </row>
    <row r="59" spans="6:8">
      <c r="F59">
        <v>0.56000000000000005</v>
      </c>
      <c r="G59" s="8">
        <f t="shared" si="0"/>
        <v>1.8346333983032801E-3</v>
      </c>
      <c r="H59" s="8">
        <f t="shared" si="1"/>
        <v>1.5823903812664449E-4</v>
      </c>
    </row>
    <row r="60" spans="6:8">
      <c r="F60">
        <v>0.56999999999999995</v>
      </c>
      <c r="G60" s="8">
        <f t="shared" si="0"/>
        <v>1.6544527369957516E-3</v>
      </c>
      <c r="H60" s="8">
        <f t="shared" si="1"/>
        <v>1.3816007034834235E-4</v>
      </c>
    </row>
    <row r="61" spans="6:8">
      <c r="F61">
        <v>0.57999999999999996</v>
      </c>
      <c r="G61" s="8">
        <f t="shared" si="0"/>
        <v>1.4915959286913129E-3</v>
      </c>
      <c r="H61" s="8">
        <f t="shared" si="1"/>
        <v>1.2059556829133763E-4</v>
      </c>
    </row>
    <row r="62" spans="6:8">
      <c r="F62">
        <v>0.59</v>
      </c>
      <c r="G62" s="8">
        <f t="shared" si="0"/>
        <v>1.3444486857400184E-3</v>
      </c>
      <c r="H62" s="8">
        <f t="shared" si="1"/>
        <v>1.05236060865648E-4</v>
      </c>
    </row>
    <row r="63" spans="6:8">
      <c r="F63">
        <v>0.6</v>
      </c>
      <c r="G63" s="8">
        <f t="shared" si="0"/>
        <v>1.2115399003808285E-3</v>
      </c>
      <c r="H63" s="8">
        <f t="shared" si="1"/>
        <v>9.1809275632116918E-5</v>
      </c>
    </row>
    <row r="64" spans="6:8">
      <c r="F64">
        <v>0.61</v>
      </c>
      <c r="G64" s="8">
        <f t="shared" si="0"/>
        <v>1.0915299998040611E-3</v>
      </c>
      <c r="H64" s="8">
        <f t="shared" si="1"/>
        <v>8.0075816369397818E-5</v>
      </c>
    </row>
    <row r="65" spans="6:8">
      <c r="F65">
        <v>0.62</v>
      </c>
      <c r="G65" s="8">
        <f t="shared" si="0"/>
        <v>9.8320008705389907E-4</v>
      </c>
      <c r="H65" s="8">
        <f t="shared" si="1"/>
        <v>6.9825317401136695E-5</v>
      </c>
    </row>
    <row r="66" spans="6:8">
      <c r="F66">
        <v>0.63</v>
      </c>
      <c r="G66" s="8">
        <f t="shared" si="0"/>
        <v>8.8544184163205284E-4</v>
      </c>
      <c r="H66" s="8">
        <f t="shared" si="1"/>
        <v>6.0873026615688628E-5</v>
      </c>
    </row>
    <row r="67" spans="6:8">
      <c r="F67">
        <v>0.64</v>
      </c>
      <c r="G67" s="8">
        <f t="shared" si="0"/>
        <v>7.9724814912800039E-4</v>
      </c>
      <c r="H67" s="8">
        <f t="shared" si="1"/>
        <v>5.3056773113482678E-5</v>
      </c>
    </row>
    <row r="68" spans="6:8">
      <c r="F68">
        <v>0.65</v>
      </c>
      <c r="G68" s="8">
        <f t="shared" si="0"/>
        <v>7.1770442608252473E-4</v>
      </c>
      <c r="H68" s="8">
        <f t="shared" si="1"/>
        <v>4.6234279258855777E-5</v>
      </c>
    </row>
    <row r="69" spans="6:8">
      <c r="F69">
        <v>0.66</v>
      </c>
      <c r="G69" s="8">
        <f t="shared" ref="G69:G103" si="2">IF($G$3="Overdamped",EXP(-$C$12*$C$14*F69)*((($C$16+($C$12*$C$14+$C$20)*$C$17)/2*$C$20)*EXP($C$20*F69)-(($C$16+($C$12*$C$14-$C$20)*$C$17)/2*$C$20)*EXP(-$C$20*F69)),IF($G$3="Underdamped",EXP(-$C$12*$C$14*F69)*($C$17*COS($C$20*F69)+(($C$16+$C$12*$C$14*$C$17)/$C$20)*SIN($C$20*F69)),($C$17+($C$16+$C$14*$C$17)*F69)*EXP(-$C$14*F69)))</f>
        <v>6.4598060431927853E-4</v>
      </c>
      <c r="H69" s="8">
        <f t="shared" ref="H69:H103" si="3">IF($H$3="Overdamped",EXP(-$C$13*$C$15*F69)*((($C$16+($C$13*$C$15+$C$21)*$C$18)/2*$C$21)*EXP($C$21*F69)-(($C$16+($C$13*$C$15-$C$21)*$C$18)/2*$C$21)*EXP(-$C$21*F69)),IF($H$3="Underdamped",EXP(-$C$13*$C$15*F69)*($C$18*COS($C$21*F69)+(($C$16+$C$13*$C$15*$C$18)/$C$21)*SIN($C$21*F69)),($C$18+($C$16+$C$15*$C$18)*F69)*EXP(-$C$15*F69)))</f>
        <v>4.0280780557697349E-5</v>
      </c>
    </row>
    <row r="70" spans="6:8">
      <c r="F70">
        <v>0.67</v>
      </c>
      <c r="G70" s="8">
        <f t="shared" si="2"/>
        <v>5.8132373792736637E-4</v>
      </c>
      <c r="H70" s="8">
        <f t="shared" si="3"/>
        <v>3.5086920207176459E-5</v>
      </c>
    </row>
    <row r="71" spans="6:8">
      <c r="F71">
        <v>0.68</v>
      </c>
      <c r="G71" s="8">
        <f t="shared" si="2"/>
        <v>5.2305119575771751E-4</v>
      </c>
      <c r="H71" s="8">
        <f t="shared" si="3"/>
        <v>3.0556888357250775E-5</v>
      </c>
    </row>
    <row r="72" spans="6:8">
      <c r="F72">
        <v>0.69</v>
      </c>
      <c r="G72" s="8">
        <f t="shared" si="2"/>
        <v>4.7054440255014717E-4</v>
      </c>
      <c r="H72" s="8">
        <f t="shared" si="3"/>
        <v>2.6606779081621548E-5</v>
      </c>
    </row>
    <row r="73" spans="6:8">
      <c r="F73">
        <v>0.7</v>
      </c>
      <c r="G73" s="8">
        <f t="shared" si="2"/>
        <v>4.2324309250637188E-4</v>
      </c>
      <c r="H73" s="8">
        <f t="shared" si="3"/>
        <v>2.316314078024104E-5</v>
      </c>
    </row>
    <row r="74" spans="6:8">
      <c r="F74">
        <v>0.71</v>
      </c>
      <c r="G74" s="8">
        <f t="shared" si="2"/>
        <v>3.806400401592363E-4</v>
      </c>
      <c r="H74" s="8">
        <f t="shared" si="3"/>
        <v>2.0161698232633626E-5</v>
      </c>
    </row>
    <row r="75" spans="6:8">
      <c r="F75">
        <v>0.72</v>
      </c>
      <c r="G75" s="8">
        <f t="shared" si="2"/>
        <v>3.4227623467176328E-4</v>
      </c>
      <c r="H75" s="8">
        <f t="shared" si="3"/>
        <v>1.7546226800404535E-5</v>
      </c>
    </row>
    <row r="76" spans="6:8">
      <c r="F76">
        <v>0.73</v>
      </c>
      <c r="G76" s="8">
        <f t="shared" si="2"/>
        <v>3.0773646515913747E-4</v>
      </c>
      <c r="H76" s="8">
        <f t="shared" si="3"/>
        <v>1.5267561349653828E-5</v>
      </c>
    </row>
    <row r="77" spans="6:8">
      <c r="F77">
        <v>0.74</v>
      </c>
      <c r="G77" s="8">
        <f t="shared" si="2"/>
        <v>2.7664528620365323E-4</v>
      </c>
      <c r="H77" s="8">
        <f t="shared" si="3"/>
        <v>1.3282724342104134E-5</v>
      </c>
    </row>
    <row r="78" spans="6:8">
      <c r="F78">
        <v>0.75</v>
      </c>
      <c r="G78" s="8">
        <f t="shared" si="2"/>
        <v>2.4866333437977695E-4</v>
      </c>
      <c r="H78" s="8">
        <f t="shared" si="3"/>
        <v>1.1554159240767055E-5</v>
      </c>
    </row>
    <row r="79" spans="6:8">
      <c r="F79">
        <v>0.76</v>
      </c>
      <c r="G79" s="8">
        <f t="shared" si="2"/>
        <v>2.2348396828586787E-4</v>
      </c>
      <c r="H79" s="8">
        <f t="shared" si="3"/>
        <v>1.0049056905303535E-5</v>
      </c>
    </row>
    <row r="80" spans="6:8">
      <c r="F80">
        <v>0.77</v>
      </c>
      <c r="G80" s="8">
        <f t="shared" si="2"/>
        <v>2.0083020626095318E-4</v>
      </c>
      <c r="H80" s="8">
        <f t="shared" si="3"/>
        <v>8.7387640271455831E-6</v>
      </c>
    </row>
    <row r="81" spans="6:8">
      <c r="F81">
        <v>0.78</v>
      </c>
      <c r="G81" s="8">
        <f t="shared" si="2"/>
        <v>1.8045193762584945E-4</v>
      </c>
      <c r="H81" s="8">
        <f t="shared" si="3"/>
        <v>7.5982638878449269E-6</v>
      </c>
    </row>
    <row r="82" spans="6:8">
      <c r="F82">
        <v>0.79</v>
      </c>
      <c r="G82" s="8">
        <f t="shared" si="2"/>
        <v>1.6212338490998813E-4</v>
      </c>
      <c r="H82" s="8">
        <f t="shared" si="3"/>
        <v>6.6057208283762705E-6</v>
      </c>
    </row>
    <row r="83" spans="6:8">
      <c r="F83">
        <v>0.8</v>
      </c>
      <c r="G83" s="8">
        <f t="shared" si="2"/>
        <v>1.4564079609510119E-4</v>
      </c>
      <c r="H83" s="8">
        <f t="shared" si="3"/>
        <v>5.7420808039764507E-6</v>
      </c>
    </row>
    <row r="84" spans="6:8">
      <c r="F84">
        <v>0.81</v>
      </c>
      <c r="G84" s="8">
        <f t="shared" si="2"/>
        <v>1.3082034741468521E-4</v>
      </c>
      <c r="H84" s="8">
        <f t="shared" si="3"/>
        <v>4.990721279565808E-6</v>
      </c>
    </row>
    <row r="85" spans="6:8">
      <c r="F85">
        <v>0.82</v>
      </c>
      <c r="G85" s="8">
        <f t="shared" si="2"/>
        <v>1.1749623868715527E-4</v>
      </c>
      <c r="H85" s="8">
        <f t="shared" si="3"/>
        <v>4.3371445051402436E-6</v>
      </c>
    </row>
    <row r="86" spans="6:8">
      <c r="F86">
        <v>0.83</v>
      </c>
      <c r="G86" s="8">
        <f t="shared" si="2"/>
        <v>1.055189645264442E-4</v>
      </c>
      <c r="H86" s="8">
        <f t="shared" si="3"/>
        <v>3.7687089082484103E-6</v>
      </c>
    </row>
    <row r="87" spans="6:8">
      <c r="F87">
        <v>0.84</v>
      </c>
      <c r="G87" s="8">
        <f t="shared" si="2"/>
        <v>9.4753746064156992E-5</v>
      </c>
      <c r="H87" s="8">
        <f t="shared" si="3"/>
        <v>3.274393960530454E-6</v>
      </c>
    </row>
    <row r="88" spans="6:8">
      <c r="F88">
        <v>0.85</v>
      </c>
      <c r="G88" s="8">
        <f t="shared" si="2"/>
        <v>8.5079109031375877E-5</v>
      </c>
      <c r="H88" s="8">
        <f t="shared" si="3"/>
        <v>2.8445944253115962E-6</v>
      </c>
    </row>
    <row r="89" spans="6:8">
      <c r="F89">
        <v>0.86</v>
      </c>
      <c r="G89" s="8">
        <f t="shared" si="2"/>
        <v>7.638559518624333E-5</v>
      </c>
      <c r="H89" s="8">
        <f t="shared" si="3"/>
        <v>2.4709403807336731E-6</v>
      </c>
    </row>
    <row r="90" spans="6:8">
      <c r="F90">
        <v>0.87</v>
      </c>
      <c r="G90" s="8">
        <f t="shared" si="2"/>
        <v>6.8574595136841864E-5</v>
      </c>
      <c r="H90" s="8">
        <f t="shared" si="3"/>
        <v>2.1461398445210686E-6</v>
      </c>
    </row>
    <row r="91" spans="6:8">
      <c r="F91">
        <v>0.88</v>
      </c>
      <c r="G91" s="8">
        <f t="shared" si="2"/>
        <v>6.1557291599688061E-5</v>
      </c>
      <c r="H91" s="8">
        <f t="shared" si="3"/>
        <v>1.8638412082417127E-6</v>
      </c>
    </row>
    <row r="92" spans="6:8">
      <c r="F92">
        <v>0.89</v>
      </c>
      <c r="G92" s="8">
        <f t="shared" si="2"/>
        <v>5.5253703054954878E-5</v>
      </c>
      <c r="H92" s="8">
        <f t="shared" si="3"/>
        <v>1.6185130262832214E-6</v>
      </c>
    </row>
    <row r="93" spans="6:8">
      <c r="F93">
        <v>0.9</v>
      </c>
      <c r="G93" s="8">
        <f t="shared" si="2"/>
        <v>4.9591818613282141E-5</v>
      </c>
      <c r="H93" s="8">
        <f t="shared" si="3"/>
        <v>1.4053390026244635E-6</v>
      </c>
    </row>
    <row r="94" spans="6:8">
      <c r="F94">
        <v>0.91</v>
      </c>
      <c r="G94" s="8">
        <f t="shared" si="2"/>
        <v>4.450681569895256E-5</v>
      </c>
      <c r="H94" s="8">
        <f t="shared" si="3"/>
        <v>1.2201262812535971E-6</v>
      </c>
    </row>
    <row r="95" spans="6:8">
      <c r="F95">
        <v>0.92</v>
      </c>
      <c r="G95" s="8">
        <f t="shared" si="2"/>
        <v>3.9940352883668515E-5</v>
      </c>
      <c r="H95" s="8">
        <f t="shared" si="3"/>
        <v>1.0592253777199287E-6</v>
      </c>
    </row>
    <row r="96" spans="6:8">
      <c r="F96">
        <v>0.93</v>
      </c>
      <c r="G96" s="8">
        <f t="shared" si="2"/>
        <v>3.5839930877615774E-5</v>
      </c>
      <c r="H96" s="8">
        <f t="shared" si="3"/>
        <v>9.1946029334941529E-7</v>
      </c>
    </row>
    <row r="97" spans="6:8">
      <c r="F97">
        <v>0.94</v>
      </c>
      <c r="G97" s="8">
        <f t="shared" si="2"/>
        <v>3.2158315303399051E-5</v>
      </c>
      <c r="H97" s="8">
        <f t="shared" si="3"/>
        <v>7.9806753326600116E-7</v>
      </c>
    </row>
    <row r="98" spans="6:8">
      <c r="F98">
        <v>0.95</v>
      </c>
      <c r="G98" s="8">
        <f t="shared" si="2"/>
        <v>2.8853015447212058E-5</v>
      </c>
      <c r="H98" s="8">
        <f t="shared" si="3"/>
        <v>6.9264290736548608E-7</v>
      </c>
    </row>
    <row r="99" spans="6:8">
      <c r="F99">
        <v>0.96</v>
      </c>
      <c r="G99" s="8">
        <f t="shared" si="2"/>
        <v>2.5885813703600251E-5</v>
      </c>
      <c r="H99" s="8">
        <f t="shared" si="3"/>
        <v>6.0109513229930669E-7</v>
      </c>
    </row>
    <row r="100" spans="6:8">
      <c r="F100">
        <v>0.97</v>
      </c>
      <c r="G100" s="8">
        <f t="shared" si="2"/>
        <v>2.3222340908636877E-5</v>
      </c>
      <c r="H100" s="8">
        <f t="shared" si="3"/>
        <v>5.216053745784257E-7</v>
      </c>
    </row>
    <row r="101" spans="6:8">
      <c r="F101">
        <v>0.98</v>
      </c>
      <c r="G101" s="8">
        <f t="shared" si="2"/>
        <v>2.0831693194380153E-5</v>
      </c>
      <c r="H101" s="8">
        <f t="shared" si="3"/>
        <v>4.5259198208899468E-7</v>
      </c>
    </row>
    <row r="102" spans="6:8">
      <c r="F102">
        <v>0.99</v>
      </c>
      <c r="G102" s="8">
        <f t="shared" si="2"/>
        <v>1.8686086398085165E-5</v>
      </c>
      <c r="H102" s="8">
        <f t="shared" si="3"/>
        <v>3.9267974538383787E-7</v>
      </c>
    </row>
    <row r="103" spans="6:8">
      <c r="F103">
        <v>1</v>
      </c>
      <c r="G103" s="8">
        <f t="shared" si="2"/>
        <v>1.6760544425643062E-5</v>
      </c>
      <c r="H103" s="8">
        <f t="shared" si="3"/>
        <v>3.4067311263910383E-7</v>
      </c>
    </row>
  </sheetData>
  <mergeCells count="1">
    <mergeCell ref="F1:H1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44FC9B4-6C6C-4308-BC0E-24DF4F4F2542}">
          <x14:formula1>
            <xm:f>'Weight Bias'!$A$3:$A$7</xm:f>
          </x14:formula1>
          <xm:sqref>C26</xm:sqref>
        </x14:dataValidation>
        <x14:dataValidation type="list" errorStyle="warning" allowBlank="1" showInputMessage="1" showErrorMessage="1" xr:uid="{F8D95C12-065A-4C83-89A2-1BB43A285F79}">
          <x14:formula1>
            <xm:f>'Weight Bias'!$N$3:$N$4</xm:f>
          </x14:formula1>
          <xm:sqref>C25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BCC586FA37A141A958BE8A33A37FED" ma:contentTypeVersion="10" ma:contentTypeDescription="Create a new document." ma:contentTypeScope="" ma:versionID="6ecbbcb6dec492d277dd09edc2107a98">
  <xsd:schema xmlns:xsd="http://www.w3.org/2001/XMLSchema" xmlns:xs="http://www.w3.org/2001/XMLSchema" xmlns:p="http://schemas.microsoft.com/office/2006/metadata/properties" xmlns:ns2="9d9aa378-6e7a-426a-b961-20202a0aac26" targetNamespace="http://schemas.microsoft.com/office/2006/metadata/properties" ma:root="true" ma:fieldsID="6245c6c6ed09ae6cbbbbce6c162ce510" ns2:_="">
    <xsd:import namespace="9d9aa378-6e7a-426a-b961-20202a0aa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9aa378-6e7a-426a-b961-20202a0aac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7E075A9-F51B-434B-9872-E93DE78ED4D8}"/>
</file>

<file path=customXml/itemProps2.xml><?xml version="1.0" encoding="utf-8"?>
<ds:datastoreItem xmlns:ds="http://schemas.openxmlformats.org/officeDocument/2006/customXml" ds:itemID="{5EC29A12-2CD4-4A27-B848-A466CA6270F2}"/>
</file>

<file path=customXml/itemProps3.xml><?xml version="1.0" encoding="utf-8"?>
<ds:datastoreItem xmlns:ds="http://schemas.openxmlformats.org/officeDocument/2006/customXml" ds:itemID="{DE3A1366-D48D-4C2B-9C0F-2F21D46FD2A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Tyson Spencer</dc:creator>
  <cp:keywords/>
  <dc:description/>
  <cp:lastModifiedBy/>
  <cp:revision/>
  <dcterms:created xsi:type="dcterms:W3CDTF">2020-11-11T20:30:41Z</dcterms:created>
  <dcterms:modified xsi:type="dcterms:W3CDTF">2021-04-27T13:11:30Z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0x01010047BCC586FA37A141A958BE8A33A37FED</vt:lpwstr>
  </property>
</Properties>
</file>